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firstSheet="2" activeTab="2"/>
  </bookViews>
  <sheets>
    <sheet name="results" sheetId="5" state="veryHidden" r:id="rId1"/>
    <sheet name="Sheet1" sheetId="4" state="hidden" r:id="rId2"/>
    <sheet name="测算稿 " sheetId="8" r:id="rId3"/>
  </sheets>
  <calcPr calcId="144525" concurrentCalc="0"/>
</workbook>
</file>

<file path=xl/sharedStrings.xml><?xml version="1.0" encoding="utf-8"?>
<sst xmlns="http://schemas.openxmlformats.org/spreadsheetml/2006/main" count="185" uniqueCount="142">
  <si>
    <t>2019年1-6月累计车险原保险保费收入</t>
  </si>
  <si>
    <t>单位：万元，须转换成亿元</t>
  </si>
  <si>
    <t>转换为亿元保费</t>
  </si>
  <si>
    <t>2018.7-2019.6滚动12个月</t>
  </si>
  <si>
    <t>车险-理赔-有效件</t>
  </si>
  <si>
    <t>公司名称</t>
  </si>
  <si>
    <t>本年</t>
  </si>
  <si>
    <r>
      <rPr>
        <b/>
        <sz val="11"/>
        <color theme="1"/>
        <rFont val="宋体"/>
        <charset val="134"/>
      </rPr>
      <t>2018</t>
    </r>
    <r>
      <rPr>
        <b/>
        <sz val="9"/>
        <rFont val="宋体"/>
        <charset val="134"/>
      </rPr>
      <t>年</t>
    </r>
    <r>
      <rPr>
        <b/>
        <sz val="9"/>
        <rFont val="Tahoma"/>
        <charset val="134"/>
      </rPr>
      <t>7</t>
    </r>
    <r>
      <rPr>
        <b/>
        <sz val="9"/>
        <rFont val="宋体"/>
        <charset val="134"/>
      </rPr>
      <t>月</t>
    </r>
    <r>
      <rPr>
        <b/>
        <sz val="9"/>
        <rFont val="Tahoma"/>
        <charset val="134"/>
      </rPr>
      <t>-12</t>
    </r>
    <r>
      <rPr>
        <b/>
        <sz val="9"/>
        <rFont val="宋体"/>
        <charset val="134"/>
      </rPr>
      <t>月累计</t>
    </r>
  </si>
  <si>
    <r>
      <rPr>
        <b/>
        <sz val="11"/>
        <color theme="1"/>
        <rFont val="宋体"/>
        <charset val="134"/>
      </rPr>
      <t>2019.6</t>
    </r>
    <r>
      <rPr>
        <sz val="10"/>
        <rFont val="宋体"/>
        <charset val="134"/>
      </rPr>
      <t>滚动</t>
    </r>
    <r>
      <rPr>
        <sz val="11"/>
        <color theme="1"/>
        <rFont val="宋体"/>
        <charset val="134"/>
      </rPr>
      <t>12</t>
    </r>
    <r>
      <rPr>
        <sz val="10"/>
        <rFont val="宋体"/>
        <charset val="134"/>
      </rPr>
      <t>月合计（万元）</t>
    </r>
  </si>
  <si>
    <r>
      <rPr>
        <b/>
        <sz val="11"/>
        <color theme="1"/>
        <rFont val="宋体"/>
        <charset val="134"/>
      </rPr>
      <t>2019.6</t>
    </r>
    <r>
      <rPr>
        <sz val="10"/>
        <rFont val="宋体"/>
        <charset val="134"/>
      </rPr>
      <t>滚动</t>
    </r>
    <r>
      <rPr>
        <sz val="11"/>
        <color theme="1"/>
        <rFont val="宋体"/>
        <charset val="134"/>
      </rPr>
      <t>12</t>
    </r>
    <r>
      <rPr>
        <sz val="10"/>
        <rFont val="宋体"/>
        <charset val="134"/>
      </rPr>
      <t>月车险理赔有效投诉件合计</t>
    </r>
  </si>
  <si>
    <r>
      <rPr>
        <b/>
        <sz val="11"/>
        <color theme="1"/>
        <rFont val="宋体"/>
        <charset val="134"/>
      </rPr>
      <t>2019.6</t>
    </r>
    <r>
      <rPr>
        <sz val="10"/>
        <rFont val="宋体"/>
        <charset val="134"/>
      </rPr>
      <t>滚动</t>
    </r>
    <r>
      <rPr>
        <sz val="11"/>
        <color theme="1"/>
        <rFont val="宋体"/>
        <charset val="134"/>
      </rPr>
      <t>12</t>
    </r>
    <r>
      <rPr>
        <sz val="10"/>
        <rFont val="宋体"/>
        <charset val="134"/>
      </rPr>
      <t>月合计（亿元）</t>
    </r>
  </si>
  <si>
    <t>亿元保费投诉量</t>
  </si>
  <si>
    <t>机构名称</t>
  </si>
  <si>
    <t>计数项:投诉内容</t>
  </si>
  <si>
    <r>
      <rPr>
        <sz val="11"/>
        <color theme="1"/>
        <rFont val="宋体"/>
        <charset val="134"/>
      </rPr>
      <t>车险原保险保费收入（滚动</t>
    </r>
    <r>
      <rPr>
        <sz val="11"/>
        <color theme="1"/>
        <rFont val="宋体"/>
        <charset val="134"/>
      </rPr>
      <t>12</t>
    </r>
    <r>
      <rPr>
        <sz val="10"/>
        <rFont val="宋体"/>
        <charset val="134"/>
      </rPr>
      <t>月）</t>
    </r>
  </si>
  <si>
    <t>人保股份鲁分</t>
  </si>
  <si>
    <t>安邦财险</t>
  </si>
  <si>
    <t>大地财产鲁分</t>
  </si>
  <si>
    <t>安诚财险</t>
  </si>
  <si>
    <t>中华联合鲁分</t>
  </si>
  <si>
    <t>安华农险</t>
  </si>
  <si>
    <t>太保财鲁分</t>
  </si>
  <si>
    <t>安盛天平</t>
  </si>
  <si>
    <t>平安财鲁分</t>
  </si>
  <si>
    <t>渤海财险</t>
  </si>
  <si>
    <t>华泰鲁分</t>
  </si>
  <si>
    <t>大地财险</t>
  </si>
  <si>
    <t>天安鲁分</t>
  </si>
  <si>
    <t>鼎和财险</t>
  </si>
  <si>
    <t>华安鲁分</t>
  </si>
  <si>
    <t>都邦财险</t>
  </si>
  <si>
    <t>永安鲁分</t>
  </si>
  <si>
    <t>国任财险</t>
  </si>
  <si>
    <t>太平保险鲁分</t>
  </si>
  <si>
    <t>国寿财险</t>
  </si>
  <si>
    <t>亚太财险鲁分</t>
  </si>
  <si>
    <t>华安财险</t>
  </si>
  <si>
    <t>中银保险鲁分</t>
  </si>
  <si>
    <t>华海财险</t>
  </si>
  <si>
    <t>利宝鲁分</t>
  </si>
  <si>
    <t>华泰财险</t>
  </si>
  <si>
    <t>永诚鲁分</t>
  </si>
  <si>
    <t>利宝保险</t>
  </si>
  <si>
    <t>安邦鲁分</t>
  </si>
  <si>
    <t>平安财险青岛分公司</t>
  </si>
  <si>
    <t>国任财险鲁分</t>
  </si>
  <si>
    <t>平安财险山东分公司</t>
  </si>
  <si>
    <t>安华农业鲁分</t>
  </si>
  <si>
    <t>人保财险</t>
  </si>
  <si>
    <t>安盛天平鲁分</t>
  </si>
  <si>
    <t>太平财险</t>
  </si>
  <si>
    <t>阳光财产鲁分</t>
  </si>
  <si>
    <t>太平洋财险</t>
  </si>
  <si>
    <t>都邦鲁分</t>
  </si>
  <si>
    <t>泰山财险</t>
  </si>
  <si>
    <t>渤海鲁分</t>
  </si>
  <si>
    <t>天安财险</t>
  </si>
  <si>
    <t>国寿财产鲁分</t>
  </si>
  <si>
    <t>鑫安车险</t>
  </si>
  <si>
    <t>安诚鲁分</t>
  </si>
  <si>
    <t>亚太财险</t>
  </si>
  <si>
    <t>长安责任鲁分</t>
  </si>
  <si>
    <t>阳光财险</t>
  </si>
  <si>
    <t>国元保险山东分</t>
  </si>
  <si>
    <t>英大财险</t>
  </si>
  <si>
    <t>鼎和财产鲁分</t>
  </si>
  <si>
    <t>永安财险</t>
  </si>
  <si>
    <t>中煤财产鲁分</t>
  </si>
  <si>
    <t>永诚财险</t>
  </si>
  <si>
    <t>国泰产险鲁分</t>
  </si>
  <si>
    <t>长安责任</t>
  </si>
  <si>
    <t>英大财产鲁分</t>
  </si>
  <si>
    <t>长江财险</t>
  </si>
  <si>
    <t>浙商财产鲁分</t>
  </si>
  <si>
    <t>浙商财险</t>
  </si>
  <si>
    <t>紫金财产鲁分</t>
  </si>
  <si>
    <t>中华财险</t>
  </si>
  <si>
    <t>泰山财险鲁分</t>
  </si>
  <si>
    <t>中路财险</t>
  </si>
  <si>
    <t>众诚保险鲁分</t>
  </si>
  <si>
    <t>中煤财险</t>
  </si>
  <si>
    <t>长江财产山东分</t>
  </si>
  <si>
    <t>中银保险</t>
  </si>
  <si>
    <t>鑫安保险鲁分</t>
  </si>
  <si>
    <t>紫金财险</t>
  </si>
  <si>
    <t>众安财产鲁分（虚拟）</t>
  </si>
  <si>
    <t>总计</t>
  </si>
  <si>
    <t>华海财产鲁分</t>
  </si>
  <si>
    <t>中路财产鲁分</t>
  </si>
  <si>
    <t>泰康在线鲁分（虚拟）</t>
  </si>
  <si>
    <t>平均</t>
  </si>
  <si>
    <t>产险-合计</t>
  </si>
  <si>
    <t>威海市财险公司车辆保险理赔服务质量测评结果（2023年7月）</t>
  </si>
  <si>
    <t>排名</t>
  </si>
  <si>
    <t>公司</t>
  </si>
  <si>
    <t>总分</t>
  </si>
  <si>
    <t>理赔时效（60）</t>
  </si>
  <si>
    <t>案件处理（30）</t>
  </si>
  <si>
    <t>投诉处理（10）</t>
  </si>
  <si>
    <t>扣分项（6）</t>
  </si>
  <si>
    <t>家用车支付周期（40）</t>
  </si>
  <si>
    <t>非家用车支付周期（20）</t>
  </si>
  <si>
    <t>结案率（20）</t>
  </si>
  <si>
    <t>结案支付率(10)</t>
  </si>
  <si>
    <t>亿元投诉件数</t>
  </si>
  <si>
    <t>得分(10)</t>
  </si>
  <si>
    <t>注销案件占比</t>
  </si>
  <si>
    <t>0结案占比</t>
  </si>
  <si>
    <t>案件重开率</t>
  </si>
  <si>
    <t>扣分</t>
  </si>
  <si>
    <t>交强小额案件</t>
  </si>
  <si>
    <t>交强非小额案件</t>
  </si>
  <si>
    <t>商业小额案件</t>
  </si>
  <si>
    <t>商业大额案件</t>
  </si>
  <si>
    <t>交强险</t>
  </si>
  <si>
    <t>商业险</t>
  </si>
  <si>
    <t>指标值</t>
  </si>
  <si>
    <t>得分</t>
  </si>
  <si>
    <t>行业值/满分</t>
  </si>
  <si>
    <t>太平洋保险</t>
  </si>
  <si>
    <t>中路保险</t>
  </si>
  <si>
    <t>紫金保险</t>
  </si>
  <si>
    <t>大家保险</t>
  </si>
  <si>
    <t>-</t>
  </si>
  <si>
    <t>英大泰和</t>
  </si>
  <si>
    <t>渤海保险</t>
  </si>
  <si>
    <t>华泰保险</t>
  </si>
  <si>
    <t>华海保险</t>
  </si>
  <si>
    <t>中华联合</t>
  </si>
  <si>
    <t>天安保险</t>
  </si>
  <si>
    <t>平安保险</t>
  </si>
  <si>
    <t>安华保险</t>
  </si>
  <si>
    <t>安诚保险</t>
  </si>
  <si>
    <t>都邦保险</t>
  </si>
  <si>
    <t>中煤保险</t>
  </si>
  <si>
    <t>永安保险</t>
  </si>
  <si>
    <t>华安保险</t>
  </si>
  <si>
    <t>阳光保险</t>
  </si>
  <si>
    <t>大地保险</t>
  </si>
  <si>
    <t>泰山保险</t>
  </si>
  <si>
    <t>浙商保险</t>
  </si>
  <si>
    <t>亚太保险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</si>
</sst>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#0.00"/>
  </numFmts>
  <fonts count="5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2"/>
      <name val="仿宋_GB2312"/>
      <charset val="134"/>
    </font>
    <font>
      <b/>
      <sz val="12"/>
      <name val="华文仿宋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b/>
      <sz val="11"/>
      <name val="Times New Roman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Times New Roman"/>
      <charset val="134"/>
    </font>
    <font>
      <sz val="9"/>
      <color indexed="8"/>
      <name val="Times New Roman"/>
      <charset val="134"/>
    </font>
    <font>
      <b/>
      <sz val="10"/>
      <name val="Arial"/>
      <charset val="134"/>
    </font>
    <font>
      <b/>
      <sz val="9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1"/>
      <name val="Tahoma"/>
      <charset val="134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9"/>
      <color indexed="0"/>
      <name val="Arial"/>
      <charset val="134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2"/>
      <name val="Times New Roman"/>
      <charset val="134"/>
    </font>
    <font>
      <b/>
      <sz val="11"/>
      <color theme="1"/>
      <name val="宋体"/>
      <charset val="134"/>
    </font>
    <font>
      <b/>
      <sz val="9"/>
      <name val="Tahoma"/>
      <charset val="134"/>
    </font>
    <font>
      <sz val="11"/>
      <color theme="1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</borders>
  <cellStyleXfs count="1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4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0" borderId="43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44" applyNumberFormat="0" applyFont="0" applyAlignment="0" applyProtection="0">
      <alignment vertical="center"/>
    </xf>
    <xf numFmtId="0" fontId="23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44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45" applyNumberFormat="0" applyFill="0" applyAlignment="0" applyProtection="0">
      <alignment vertical="center"/>
    </xf>
    <xf numFmtId="0" fontId="30" fillId="0" borderId="45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0" borderId="4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1" fillId="10" borderId="47" applyNumberFormat="0" applyAlignment="0" applyProtection="0">
      <alignment vertical="center"/>
    </xf>
    <xf numFmtId="0" fontId="32" fillId="10" borderId="43" applyNumberFormat="0" applyAlignment="0" applyProtection="0">
      <alignment vertical="center"/>
    </xf>
    <xf numFmtId="0" fontId="33" fillId="19" borderId="48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5" fillId="0" borderId="49" applyNumberFormat="0" applyFill="0" applyAlignment="0" applyProtection="0">
      <alignment vertical="center"/>
    </xf>
    <xf numFmtId="0" fontId="36" fillId="0" borderId="50" applyNumberFormat="0" applyFill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9" fillId="10" borderId="47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1" fillId="0" borderId="0"/>
    <xf numFmtId="0" fontId="0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0" borderId="0"/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51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/>
    <xf numFmtId="0" fontId="2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44" applyNumberFormat="0" applyFont="0" applyAlignment="0" applyProtection="0">
      <alignment vertical="center"/>
    </xf>
    <xf numFmtId="0" fontId="0" fillId="13" borderId="44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44" fillId="8" borderId="4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3" fillId="0" borderId="0">
      <alignment vertical="center"/>
    </xf>
    <xf numFmtId="0" fontId="45" fillId="19" borderId="48" applyNumberFormat="0" applyAlignment="0" applyProtection="0">
      <alignment vertical="center"/>
    </xf>
    <xf numFmtId="0" fontId="0" fillId="13" borderId="44" applyNumberFormat="0" applyFont="0" applyAlignment="0" applyProtection="0">
      <alignment vertical="center"/>
    </xf>
    <xf numFmtId="0" fontId="46" fillId="0" borderId="0">
      <alignment horizontal="left"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49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3" fillId="0" borderId="0"/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52" applyNumberFormat="0" applyFill="0" applyAlignment="0" applyProtection="0">
      <alignment vertical="center"/>
    </xf>
    <xf numFmtId="0" fontId="0" fillId="0" borderId="0"/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2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9" fillId="0" borderId="53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1" fillId="0" borderId="50" applyNumberFormat="0" applyFill="0" applyAlignment="0" applyProtection="0">
      <alignment vertical="center"/>
    </xf>
    <xf numFmtId="0" fontId="23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10" fontId="1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125" applyFont="1" applyFill="1" applyBorder="1" applyAlignment="1">
      <alignment horizontal="center" vertical="center" wrapText="1"/>
    </xf>
    <xf numFmtId="0" fontId="3" fillId="0" borderId="2" xfId="125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3" xfId="125" applyFont="1" applyFill="1" applyBorder="1" applyAlignment="1">
      <alignment horizontal="center" vertical="center" wrapText="1"/>
    </xf>
    <xf numFmtId="0" fontId="3" fillId="0" borderId="4" xfId="125" applyFont="1" applyFill="1" applyBorder="1" applyAlignment="1">
      <alignment horizontal="center" vertical="center" wrapText="1"/>
    </xf>
    <xf numFmtId="0" fontId="3" fillId="0" borderId="6" xfId="125" applyFont="1" applyFill="1" applyBorder="1" applyAlignment="1">
      <alignment horizontal="center" vertical="center" wrapText="1"/>
    </xf>
    <xf numFmtId="0" fontId="3" fillId="0" borderId="7" xfId="125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76" fontId="6" fillId="0" borderId="14" xfId="0" applyNumberFormat="1" applyFont="1" applyBorder="1" applyAlignment="1">
      <alignment horizontal="center" vertical="center"/>
    </xf>
    <xf numFmtId="177" fontId="7" fillId="0" borderId="15" xfId="0" applyNumberFormat="1" applyFont="1" applyBorder="1" applyAlignment="1">
      <alignment horizontal="center" vertical="center"/>
    </xf>
    <xf numFmtId="2" fontId="6" fillId="3" borderId="16" xfId="0" applyNumberFormat="1" applyFont="1" applyFill="1" applyBorder="1" applyAlignment="1">
      <alignment horizontal="center" vertical="center"/>
    </xf>
    <xf numFmtId="177" fontId="7" fillId="0" borderId="16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8" xfId="146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177" fontId="1" fillId="0" borderId="18" xfId="0" applyNumberFormat="1" applyFont="1" applyBorder="1" applyAlignment="1">
      <alignment horizontal="center" vertical="center"/>
    </xf>
    <xf numFmtId="0" fontId="7" fillId="0" borderId="19" xfId="146" applyNumberFormat="1" applyFont="1" applyBorder="1" applyAlignment="1">
      <alignment horizontal="center" vertical="center" wrapText="1"/>
    </xf>
    <xf numFmtId="176" fontId="6" fillId="0" borderId="20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2" fontId="1" fillId="3" borderId="7" xfId="0" applyNumberFormat="1" applyFont="1" applyFill="1" applyBorder="1" applyAlignment="1">
      <alignment horizontal="center" vertical="center"/>
    </xf>
    <xf numFmtId="177" fontId="1" fillId="0" borderId="19" xfId="0" applyNumberFormat="1" applyFont="1" applyBorder="1" applyAlignment="1">
      <alignment horizontal="center" vertical="center"/>
    </xf>
    <xf numFmtId="0" fontId="7" fillId="0" borderId="19" xfId="146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2" xfId="146" applyNumberFormat="1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177" fontId="1" fillId="0" borderId="24" xfId="0" applyNumberFormat="1" applyFont="1" applyBorder="1" applyAlignment="1">
      <alignment horizontal="center" vertical="center"/>
    </xf>
    <xf numFmtId="2" fontId="1" fillId="3" borderId="25" xfId="0" applyNumberFormat="1" applyFont="1" applyFill="1" applyBorder="1" applyAlignment="1">
      <alignment horizontal="center" vertical="center"/>
    </xf>
    <xf numFmtId="177" fontId="1" fillId="0" borderId="22" xfId="0" applyNumberFormat="1" applyFont="1" applyBorder="1" applyAlignment="1">
      <alignment horizontal="center" vertical="center"/>
    </xf>
    <xf numFmtId="0" fontId="3" fillId="0" borderId="5" xfId="125" applyFont="1" applyFill="1" applyBorder="1" applyAlignment="1">
      <alignment horizontal="center" vertical="center" wrapText="1"/>
    </xf>
    <xf numFmtId="0" fontId="3" fillId="0" borderId="20" xfId="125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2" fontId="6" fillId="3" borderId="27" xfId="0" applyNumberFormat="1" applyFont="1" applyFill="1" applyBorder="1" applyAlignment="1">
      <alignment horizontal="center" vertical="center"/>
    </xf>
    <xf numFmtId="177" fontId="7" fillId="0" borderId="15" xfId="0" applyNumberFormat="1" applyFont="1" applyFill="1" applyBorder="1" applyAlignment="1">
      <alignment horizontal="center" vertical="center"/>
    </xf>
    <xf numFmtId="177" fontId="7" fillId="0" borderId="16" xfId="0" applyNumberFormat="1" applyFont="1" applyFill="1" applyBorder="1" applyAlignment="1">
      <alignment horizontal="center" vertical="center"/>
    </xf>
    <xf numFmtId="0" fontId="3" fillId="0" borderId="28" xfId="125" applyFont="1" applyFill="1" applyBorder="1" applyAlignment="1">
      <alignment horizontal="center" vertical="center" wrapText="1"/>
    </xf>
    <xf numFmtId="0" fontId="3" fillId="0" borderId="29" xfId="125" applyFont="1" applyFill="1" applyBorder="1" applyAlignment="1">
      <alignment horizontal="center" vertical="center" wrapText="1"/>
    </xf>
    <xf numFmtId="0" fontId="3" fillId="0" borderId="8" xfId="125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2" fontId="6" fillId="3" borderId="14" xfId="0" applyNumberFormat="1" applyFont="1" applyFill="1" applyBorder="1" applyAlignment="1">
      <alignment horizontal="center" vertical="center"/>
    </xf>
    <xf numFmtId="10" fontId="7" fillId="0" borderId="15" xfId="0" applyNumberFormat="1" applyFont="1" applyFill="1" applyBorder="1" applyAlignment="1">
      <alignment horizontal="center" vertical="center"/>
    </xf>
    <xf numFmtId="10" fontId="7" fillId="0" borderId="16" xfId="0" applyNumberFormat="1" applyFont="1" applyFill="1" applyBorder="1" applyAlignment="1">
      <alignment horizontal="center" vertical="center"/>
    </xf>
    <xf numFmtId="10" fontId="6" fillId="0" borderId="13" xfId="0" applyNumberFormat="1" applyFont="1" applyFill="1" applyBorder="1" applyAlignment="1">
      <alignment horizontal="center" vertical="center"/>
    </xf>
    <xf numFmtId="10" fontId="1" fillId="0" borderId="3" xfId="0" applyNumberFormat="1" applyFont="1" applyFill="1" applyBorder="1" applyAlignment="1">
      <alignment horizontal="center" vertical="center"/>
    </xf>
    <xf numFmtId="10" fontId="1" fillId="0" borderId="18" xfId="0" applyNumberFormat="1" applyFont="1" applyFill="1" applyBorder="1" applyAlignment="1">
      <alignment horizontal="center" vertical="center"/>
    </xf>
    <xf numFmtId="10" fontId="1" fillId="0" borderId="6" xfId="0" applyNumberFormat="1" applyFont="1" applyFill="1" applyBorder="1" applyAlignment="1">
      <alignment horizontal="center" vertical="center"/>
    </xf>
    <xf numFmtId="10" fontId="1" fillId="0" borderId="19" xfId="0" applyNumberFormat="1" applyFont="1" applyFill="1" applyBorder="1" applyAlignment="1">
      <alignment horizontal="center" vertical="center"/>
    </xf>
    <xf numFmtId="10" fontId="1" fillId="0" borderId="30" xfId="0" applyNumberFormat="1" applyFont="1" applyFill="1" applyBorder="1" applyAlignment="1">
      <alignment horizontal="center" vertical="center"/>
    </xf>
    <xf numFmtId="10" fontId="1" fillId="0" borderId="31" xfId="0" applyNumberFormat="1" applyFont="1" applyFill="1" applyBorder="1" applyAlignment="1">
      <alignment horizontal="center" vertical="center"/>
    </xf>
    <xf numFmtId="10" fontId="1" fillId="0" borderId="32" xfId="0" applyNumberFormat="1" applyFont="1" applyFill="1" applyBorder="1" applyAlignment="1">
      <alignment horizontal="center" vertical="center"/>
    </xf>
    <xf numFmtId="10" fontId="1" fillId="0" borderId="33" xfId="0" applyNumberFormat="1" applyFont="1" applyFill="1" applyBorder="1" applyAlignment="1">
      <alignment horizontal="center" vertical="center"/>
    </xf>
    <xf numFmtId="10" fontId="1" fillId="0" borderId="24" xfId="0" applyNumberFormat="1" applyFont="1" applyFill="1" applyBorder="1" applyAlignment="1">
      <alignment horizontal="center" vertical="center"/>
    </xf>
    <xf numFmtId="0" fontId="3" fillId="2" borderId="15" xfId="125" applyFont="1" applyFill="1" applyBorder="1" applyAlignment="1">
      <alignment horizontal="center" vertical="center" wrapText="1"/>
    </xf>
    <xf numFmtId="0" fontId="3" fillId="2" borderId="14" xfId="125" applyFont="1" applyFill="1" applyBorder="1" applyAlignment="1">
      <alignment horizontal="center" vertical="center" wrapText="1"/>
    </xf>
    <xf numFmtId="10" fontId="3" fillId="0" borderId="1" xfId="125" applyNumberFormat="1" applyFont="1" applyFill="1" applyBorder="1" applyAlignment="1">
      <alignment horizontal="center" vertical="center" wrapText="1"/>
    </xf>
    <xf numFmtId="10" fontId="3" fillId="0" borderId="2" xfId="125" applyNumberFormat="1" applyFont="1" applyFill="1" applyBorder="1" applyAlignment="1">
      <alignment horizontal="center" vertical="center" wrapText="1"/>
    </xf>
    <xf numFmtId="0" fontId="3" fillId="2" borderId="3" xfId="125" applyFont="1" applyFill="1" applyBorder="1" applyAlignment="1">
      <alignment horizontal="center" vertical="center" wrapText="1"/>
    </xf>
    <xf numFmtId="0" fontId="3" fillId="2" borderId="5" xfId="125" applyFont="1" applyFill="1" applyBorder="1" applyAlignment="1">
      <alignment horizontal="center" vertical="center" wrapText="1"/>
    </xf>
    <xf numFmtId="10" fontId="3" fillId="2" borderId="15" xfId="0" applyNumberFormat="1" applyFont="1" applyFill="1" applyBorder="1" applyAlignment="1">
      <alignment horizontal="center" vertical="center" wrapText="1"/>
    </xf>
    <xf numFmtId="10" fontId="3" fillId="2" borderId="13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10" fontId="3" fillId="2" borderId="34" xfId="0" applyNumberFormat="1" applyFont="1" applyFill="1" applyBorder="1" applyAlignment="1">
      <alignment horizontal="center" vertical="center" wrapText="1"/>
    </xf>
    <xf numFmtId="10" fontId="3" fillId="2" borderId="35" xfId="0" applyNumberFormat="1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2" fontId="6" fillId="3" borderId="28" xfId="0" applyNumberFormat="1" applyFont="1" applyFill="1" applyBorder="1" applyAlignment="1">
      <alignment horizontal="center" vertical="center"/>
    </xf>
    <xf numFmtId="177" fontId="6" fillId="0" borderId="15" xfId="0" applyNumberFormat="1" applyFont="1" applyFill="1" applyBorder="1" applyAlignment="1">
      <alignment horizontal="center" vertical="center"/>
    </xf>
    <xf numFmtId="2" fontId="6" fillId="4" borderId="14" xfId="0" applyNumberFormat="1" applyFont="1" applyFill="1" applyBorder="1" applyAlignment="1">
      <alignment horizontal="center" vertical="center"/>
    </xf>
    <xf numFmtId="10" fontId="6" fillId="0" borderId="37" xfId="0" applyNumberFormat="1" applyFont="1" applyFill="1" applyBorder="1" applyAlignment="1">
      <alignment horizontal="center" vertical="center"/>
    </xf>
    <xf numFmtId="10" fontId="6" fillId="0" borderId="38" xfId="0" applyNumberFormat="1" applyFont="1" applyFill="1" applyBorder="1" applyAlignment="1">
      <alignment horizontal="center" vertical="center"/>
    </xf>
    <xf numFmtId="2" fontId="6" fillId="3" borderId="39" xfId="0" applyNumberFormat="1" applyFont="1" applyFill="1" applyBorder="1" applyAlignment="1">
      <alignment vertical="center"/>
    </xf>
    <xf numFmtId="2" fontId="1" fillId="3" borderId="5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10" fontId="1" fillId="0" borderId="40" xfId="0" applyNumberFormat="1" applyFont="1" applyFill="1" applyBorder="1" applyAlignment="1">
      <alignment horizontal="center" vertical="center"/>
    </xf>
    <xf numFmtId="10" fontId="1" fillId="0" borderId="41" xfId="0" applyNumberFormat="1" applyFont="1" applyFill="1" applyBorder="1" applyAlignment="1">
      <alignment horizontal="center" vertical="center"/>
    </xf>
    <xf numFmtId="2" fontId="1" fillId="3" borderId="42" xfId="0" applyNumberFormat="1" applyFont="1" applyFill="1" applyBorder="1" applyAlignment="1">
      <alignment horizontal="center" vertical="center"/>
    </xf>
    <xf numFmtId="2" fontId="1" fillId="3" borderId="20" xfId="0" applyNumberFormat="1" applyFont="1" applyFill="1" applyBorder="1" applyAlignment="1">
      <alignment horizontal="center" vertical="center"/>
    </xf>
    <xf numFmtId="177" fontId="1" fillId="0" borderId="6" xfId="0" applyNumberFormat="1" applyFont="1" applyFill="1" applyBorder="1" applyAlignment="1">
      <alignment horizontal="center" vertical="center"/>
    </xf>
    <xf numFmtId="10" fontId="1" fillId="0" borderId="7" xfId="0" applyNumberFormat="1" applyFont="1" applyFill="1" applyBorder="1" applyAlignment="1">
      <alignment horizontal="center" vertical="center"/>
    </xf>
    <xf numFmtId="2" fontId="1" fillId="4" borderId="20" xfId="0" applyNumberFormat="1" applyFont="1" applyFill="1" applyBorder="1" applyAlignment="1">
      <alignment horizontal="center" vertical="center"/>
    </xf>
    <xf numFmtId="2" fontId="1" fillId="3" borderId="23" xfId="0" applyNumberFormat="1" applyFont="1" applyFill="1" applyBorder="1" applyAlignment="1">
      <alignment horizontal="center" vertical="center"/>
    </xf>
    <xf numFmtId="177" fontId="1" fillId="0" borderId="24" xfId="0" applyNumberFormat="1" applyFont="1" applyFill="1" applyBorder="1" applyAlignment="1">
      <alignment horizontal="center" vertical="center"/>
    </xf>
    <xf numFmtId="10" fontId="1" fillId="0" borderId="2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/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/>
    <xf numFmtId="0" fontId="8" fillId="0" borderId="7" xfId="0" applyNumberFormat="1" applyFont="1" applyFill="1" applyBorder="1" applyAlignment="1" applyProtection="1">
      <alignment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1" fillId="5" borderId="7" xfId="0" applyNumberFormat="1" applyFont="1" applyFill="1" applyBorder="1" applyAlignment="1" applyProtection="1">
      <alignment horizontal="center" vertical="center" wrapText="1"/>
    </xf>
    <xf numFmtId="49" fontId="12" fillId="0" borderId="7" xfId="112" applyNumberFormat="1" applyFont="1" applyFill="1" applyBorder="1" applyAlignment="1">
      <alignment horizontal="right" vertical="center" wrapText="1"/>
    </xf>
    <xf numFmtId="178" fontId="13" fillId="0" borderId="6" xfId="146" applyNumberFormat="1" applyFont="1" applyFill="1" applyBorder="1" applyAlignment="1">
      <alignment horizontal="right" vertical="center" wrapText="1"/>
    </xf>
    <xf numFmtId="0" fontId="0" fillId="0" borderId="7" xfId="0" applyNumberFormat="1" applyFont="1" applyFill="1" applyBorder="1" applyAlignment="1"/>
    <xf numFmtId="176" fontId="14" fillId="5" borderId="7" xfId="0" applyNumberFormat="1" applyFont="1" applyFill="1" applyBorder="1" applyAlignment="1"/>
    <xf numFmtId="49" fontId="12" fillId="0" borderId="10" xfId="112" applyNumberFormat="1" applyFont="1" applyFill="1" applyBorder="1" applyAlignment="1">
      <alignment horizontal="right" vertical="center" wrapText="1"/>
    </xf>
    <xf numFmtId="178" fontId="13" fillId="0" borderId="9" xfId="146" applyNumberFormat="1" applyFont="1" applyFill="1" applyBorder="1" applyAlignment="1">
      <alignment horizontal="right" vertical="center" wrapText="1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178" fontId="15" fillId="0" borderId="24" xfId="146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176" fontId="14" fillId="0" borderId="0" xfId="0" applyNumberFormat="1" applyFont="1" applyFill="1" applyBorder="1" applyAlignment="1"/>
  </cellXfs>
  <cellStyles count="150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20% - 强调文字颜色 4 5" xfId="17"/>
    <cellStyle name="警告文本" xfId="18" builtinId="11"/>
    <cellStyle name="注释 5" xfId="19"/>
    <cellStyle name="60% - 强调文字颜色 2" xfId="20" builtinId="36"/>
    <cellStyle name="标题 4" xfId="21" builtinId="19"/>
    <cellStyle name="标题" xfId="22" builtinId="15"/>
    <cellStyle name="常规 5 2" xfId="23"/>
    <cellStyle name="强调文字颜色 4 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40% - 强调文字颜色 4 2" xfId="34"/>
    <cellStyle name="20% - 强调文字颜色 5 3" xfId="35"/>
    <cellStyle name="好 2" xfId="36"/>
    <cellStyle name="20% - 强调文字颜色 1 5" xfId="37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40% - 强调文字颜色 6 5" xfId="42"/>
    <cellStyle name="好" xfId="43" builtinId="26"/>
    <cellStyle name="适中" xfId="44" builtinId="28"/>
    <cellStyle name="20% - 强调文字颜色 3 3" xfId="45"/>
    <cellStyle name="20% - 强调文字颜色 5" xfId="46" builtinId="46"/>
    <cellStyle name="强调文字颜色 1" xfId="47" builtinId="29"/>
    <cellStyle name="20% - 强调文字颜色 1" xfId="48" builtinId="30"/>
    <cellStyle name="40% - 强调文字颜色 1" xfId="49" builtinId="31"/>
    <cellStyle name="20% - 强调文字颜色 6 4" xfId="50"/>
    <cellStyle name="60% - 强调文字颜色 4 2" xfId="51"/>
    <cellStyle name="输出 2" xfId="52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20% - 强调文字颜色 4 3" xfId="66"/>
    <cellStyle name="常规 4" xfId="67"/>
    <cellStyle name="40% - 强调文字颜色 2 4" xfId="68"/>
    <cellStyle name="40% - 强调文字颜色 2 5" xfId="69"/>
    <cellStyle name="20% - 强调文字颜色 5 4" xfId="70"/>
    <cellStyle name="60% - 强调文字颜色 3 2" xfId="71"/>
    <cellStyle name="20% - 强调文字颜色 5 5" xfId="72"/>
    <cellStyle name="20% - 强调文字颜色 2 4" xfId="73"/>
    <cellStyle name="常规 8" xfId="74"/>
    <cellStyle name="20% - 强调文字颜色 4 4" xfId="75"/>
    <cellStyle name="60% - 强调文字颜色 2 2" xfId="76"/>
    <cellStyle name="常规 5" xfId="77"/>
    <cellStyle name="20% - 强调文字颜色 6 3" xfId="78"/>
    <cellStyle name="20% - 强调文字颜色 5 2" xfId="79"/>
    <cellStyle name="常规 3 2" xfId="80"/>
    <cellStyle name="标题 3 2" xfId="81"/>
    <cellStyle name="差 2" xfId="82"/>
    <cellStyle name="20% - 强调文字颜色 2 3" xfId="83"/>
    <cellStyle name="标题 5" xfId="84"/>
    <cellStyle name="20% - 强调文字颜色 6 5" xfId="85"/>
    <cellStyle name="20% - 强调文字颜色 2 5" xfId="86"/>
    <cellStyle name="20% - 强调文字颜色 3 2" xfId="87"/>
    <cellStyle name="常规 2 4" xfId="88"/>
    <cellStyle name="60% - 强调文字颜色 1 2" xfId="89"/>
    <cellStyle name="20% - 强调文字颜色 3 4" xfId="90"/>
    <cellStyle name="注释 3" xfId="91"/>
    <cellStyle name="注释 4" xfId="92"/>
    <cellStyle name="20% - 强调文字颜色 3 5" xfId="93"/>
    <cellStyle name="40% - 强调文字颜色 3 2" xfId="94"/>
    <cellStyle name="强调文字颜色 3 2" xfId="95"/>
    <cellStyle name="输入 2" xfId="96"/>
    <cellStyle name="40% - 强调文字颜色 2 2" xfId="97"/>
    <cellStyle name="强调文字颜色 2 2" xfId="98"/>
    <cellStyle name="40% - 强调文字颜色 2 3" xfId="99"/>
    <cellStyle name="40% - 强调文字颜色 3 3" xfId="100"/>
    <cellStyle name="40% - 强调文字颜色 3 4" xfId="101"/>
    <cellStyle name="20% - 强调文字颜色 1 3" xfId="102"/>
    <cellStyle name="40% - 强调文字颜色 5 5" xfId="103"/>
    <cellStyle name="标题 4 2" xfId="104"/>
    <cellStyle name="常规 4 2" xfId="105"/>
    <cellStyle name="常规 11" xfId="106"/>
    <cellStyle name="40% - 强调文字颜色 3 5" xfId="107"/>
    <cellStyle name="好_RESULTS" xfId="108"/>
    <cellStyle name="常规 12" xfId="109"/>
    <cellStyle name="检查单元格 2" xfId="110"/>
    <cellStyle name="注释 2" xfId="111"/>
    <cellStyle name="常规_sdytjz2_1.1006鲁－烟台市－产险.与市场份额情况表（2007" xfId="112"/>
    <cellStyle name="警告文本 2" xfId="113"/>
    <cellStyle name="链接单元格 2" xfId="114"/>
    <cellStyle name="强调文字颜色 5 2" xfId="115"/>
    <cellStyle name="40% - 强调文字颜色 5 2" xfId="116"/>
    <cellStyle name="常规 9" xfId="117"/>
    <cellStyle name="40% - 强调文字颜色 1 4" xfId="118"/>
    <cellStyle name="40% - 强调文字颜色 1 3" xfId="119"/>
    <cellStyle name="解释性文本 2" xfId="120"/>
    <cellStyle name="40% - 强调文字颜色 1 2" xfId="121"/>
    <cellStyle name="强调文字颜色 1 2" xfId="122"/>
    <cellStyle name="40% - 强调文字颜色 1 5" xfId="123"/>
    <cellStyle name="20% - 强调文字颜色 4 2" xfId="124"/>
    <cellStyle name="常规 3" xfId="125"/>
    <cellStyle name="40% - 强调文字颜色 6 4" xfId="126"/>
    <cellStyle name="20% - 强调文字颜色 6 2" xfId="127"/>
    <cellStyle name="60% - 强调文字颜色 6 2" xfId="128"/>
    <cellStyle name="40% - 强调文字颜色 4 4" xfId="129"/>
    <cellStyle name="40% - 强调文字颜色 6 2" xfId="130"/>
    <cellStyle name="差_RESULTS" xfId="131"/>
    <cellStyle name="强调文字颜色 6 2" xfId="132"/>
    <cellStyle name="常规 2 2" xfId="133"/>
    <cellStyle name="标题 2 2" xfId="134"/>
    <cellStyle name="常规 10" xfId="135"/>
    <cellStyle name="60% - 强调文字颜色 5 2" xfId="136"/>
    <cellStyle name="常规 3 3" xfId="137"/>
    <cellStyle name="20% - 强调文字颜色 2 2" xfId="138"/>
    <cellStyle name="40% - 强调文字颜色 4 3" xfId="139"/>
    <cellStyle name="20% - 强调文字颜色 1 4" xfId="140"/>
    <cellStyle name="40% - 强调文字颜色 5 3" xfId="141"/>
    <cellStyle name="40% - 强调文字颜色 5 4" xfId="142"/>
    <cellStyle name="标题 1 2" xfId="143"/>
    <cellStyle name="40% - 强调文字颜色 4 5" xfId="144"/>
    <cellStyle name="40% - 强调文字颜色 6 3" xfId="145"/>
    <cellStyle name="常规 2" xfId="146"/>
    <cellStyle name="常规 2 3" xfId="147"/>
    <cellStyle name="汇总 2" xfId="148"/>
    <cellStyle name="常规 7" xfId="1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topLeftCell="A7" workbookViewId="0">
      <selection activeCell="B3" sqref="B3:H42"/>
    </sheetView>
  </sheetViews>
  <sheetFormatPr defaultColWidth="8" defaultRowHeight="13.5"/>
  <cols>
    <col min="1" max="1" width="8" style="104"/>
    <col min="2" max="2" width="22" style="104" customWidth="1"/>
    <col min="3" max="3" width="20" style="104" customWidth="1"/>
    <col min="4" max="7" width="13.75" style="104" customWidth="1"/>
    <col min="8" max="9" width="13.25" style="104" customWidth="1"/>
    <col min="10" max="16384" width="8" style="104"/>
  </cols>
  <sheetData>
    <row r="1" ht="14.25" spans="2:12">
      <c r="B1" s="105" t="s">
        <v>0</v>
      </c>
      <c r="C1" s="105"/>
      <c r="D1" s="106" t="s">
        <v>1</v>
      </c>
      <c r="G1" s="107" t="s">
        <v>2</v>
      </c>
      <c r="K1" s="104" t="s">
        <v>3</v>
      </c>
      <c r="L1" s="104" t="s">
        <v>4</v>
      </c>
    </row>
    <row r="2" s="103" customFormat="1" ht="67.5" spans="2:13">
      <c r="B2" s="108" t="s">
        <v>5</v>
      </c>
      <c r="C2" s="109" t="s">
        <v>6</v>
      </c>
      <c r="D2" s="109" t="s">
        <v>7</v>
      </c>
      <c r="E2" s="109" t="s">
        <v>8</v>
      </c>
      <c r="F2" s="109" t="s">
        <v>9</v>
      </c>
      <c r="G2" s="109" t="s">
        <v>10</v>
      </c>
      <c r="H2" s="110" t="s">
        <v>11</v>
      </c>
      <c r="I2" s="119"/>
      <c r="K2" s="103" t="s">
        <v>12</v>
      </c>
      <c r="L2" s="103" t="s">
        <v>13</v>
      </c>
      <c r="M2" s="103" t="s">
        <v>14</v>
      </c>
    </row>
    <row r="3" spans="1:12">
      <c r="A3" s="104" t="str">
        <f t="shared" ref="A3:A41" si="0">LEFT(B3,2)</f>
        <v>人保</v>
      </c>
      <c r="B3" s="111" t="s">
        <v>15</v>
      </c>
      <c r="C3" s="112">
        <f>632755.97</f>
        <v>632755.97</v>
      </c>
      <c r="D3" s="112">
        <v>656120.161014</v>
      </c>
      <c r="E3" s="112">
        <f t="shared" ref="E3:E42" si="1">C3+D3</f>
        <v>1288876.131014</v>
      </c>
      <c r="F3" s="113">
        <v>240</v>
      </c>
      <c r="G3" s="112">
        <f>E3/10000</f>
        <v>128.8876131014</v>
      </c>
      <c r="H3" s="114">
        <f t="shared" ref="H3:H42" si="2">F3/G3</f>
        <v>1.86208739711228</v>
      </c>
      <c r="I3" s="120"/>
      <c r="J3" s="104" t="str">
        <f t="shared" ref="J3:J37" si="3">LEFT(K3,2)</f>
        <v>安邦</v>
      </c>
      <c r="K3" s="104" t="s">
        <v>16</v>
      </c>
      <c r="L3" s="104">
        <v>14</v>
      </c>
    </row>
    <row r="4" spans="1:12">
      <c r="A4" s="104" t="str">
        <f t="shared" si="0"/>
        <v>大地</v>
      </c>
      <c r="B4" s="115" t="s">
        <v>17</v>
      </c>
      <c r="C4" s="116">
        <f>100726.38</f>
        <v>100726.38</v>
      </c>
      <c r="D4" s="116">
        <v>101256.335962</v>
      </c>
      <c r="E4" s="116">
        <f t="shared" si="1"/>
        <v>201982.715962</v>
      </c>
      <c r="F4" s="113">
        <v>172</v>
      </c>
      <c r="G4" s="112">
        <f t="shared" ref="G4:G42" si="4">E4/10000</f>
        <v>20.1982715962</v>
      </c>
      <c r="H4" s="114">
        <f t="shared" si="2"/>
        <v>8.51558011688283</v>
      </c>
      <c r="I4" s="120"/>
      <c r="J4" s="104" t="str">
        <f t="shared" si="3"/>
        <v>安诚</v>
      </c>
      <c r="K4" s="104" t="s">
        <v>18</v>
      </c>
      <c r="L4" s="104">
        <v>12</v>
      </c>
    </row>
    <row r="5" spans="1:12">
      <c r="A5" s="104" t="str">
        <f t="shared" si="0"/>
        <v>中华</v>
      </c>
      <c r="B5" s="115" t="s">
        <v>19</v>
      </c>
      <c r="C5" s="116">
        <f>125764.11</f>
        <v>125764.11</v>
      </c>
      <c r="D5" s="116">
        <v>120423.269282</v>
      </c>
      <c r="E5" s="116">
        <f t="shared" si="1"/>
        <v>246187.379282</v>
      </c>
      <c r="F5" s="113">
        <v>45</v>
      </c>
      <c r="G5" s="112">
        <f t="shared" si="4"/>
        <v>24.6187379282</v>
      </c>
      <c r="H5" s="114">
        <f t="shared" si="2"/>
        <v>1.82787599150052</v>
      </c>
      <c r="I5" s="120"/>
      <c r="J5" s="104" t="str">
        <f t="shared" si="3"/>
        <v>安华</v>
      </c>
      <c r="K5" s="104" t="s">
        <v>20</v>
      </c>
      <c r="L5" s="104">
        <v>38</v>
      </c>
    </row>
    <row r="6" spans="1:12">
      <c r="A6" s="104" t="str">
        <f t="shared" si="0"/>
        <v>太保</v>
      </c>
      <c r="B6" s="115" t="s">
        <v>21</v>
      </c>
      <c r="C6" s="116">
        <f>212276.09</f>
        <v>212276.09</v>
      </c>
      <c r="D6" s="116">
        <v>196211.337258</v>
      </c>
      <c r="E6" s="116">
        <f t="shared" si="1"/>
        <v>408487.427258</v>
      </c>
      <c r="F6" s="113">
        <v>52</v>
      </c>
      <c r="G6" s="112">
        <f t="shared" si="4"/>
        <v>40.8487427258</v>
      </c>
      <c r="H6" s="114">
        <f t="shared" si="2"/>
        <v>1.27298899623554</v>
      </c>
      <c r="I6" s="120"/>
      <c r="J6" s="104" t="str">
        <f t="shared" si="3"/>
        <v>安盛</v>
      </c>
      <c r="K6" s="104" t="s">
        <v>22</v>
      </c>
      <c r="L6" s="104">
        <v>7</v>
      </c>
    </row>
    <row r="7" spans="1:12">
      <c r="A7" s="104" t="str">
        <f t="shared" si="0"/>
        <v>平安</v>
      </c>
      <c r="B7" s="115" t="s">
        <v>23</v>
      </c>
      <c r="C7" s="116">
        <f>396366.95</f>
        <v>396366.95</v>
      </c>
      <c r="D7" s="116">
        <v>382518.698933</v>
      </c>
      <c r="E7" s="116">
        <f t="shared" si="1"/>
        <v>778885.648933</v>
      </c>
      <c r="F7" s="113">
        <v>129</v>
      </c>
      <c r="G7" s="112">
        <f t="shared" si="4"/>
        <v>77.8885648933</v>
      </c>
      <c r="H7" s="114">
        <f t="shared" si="2"/>
        <v>1.65621231019878</v>
      </c>
      <c r="I7" s="120"/>
      <c r="J7" s="104" t="str">
        <f t="shared" si="3"/>
        <v>渤海</v>
      </c>
      <c r="K7" s="104" t="s">
        <v>24</v>
      </c>
      <c r="L7" s="104">
        <v>13</v>
      </c>
    </row>
    <row r="8" spans="1:12">
      <c r="A8" s="104" t="str">
        <f t="shared" si="0"/>
        <v>华泰</v>
      </c>
      <c r="B8" s="115" t="s">
        <v>25</v>
      </c>
      <c r="C8" s="116">
        <f>13517.3</f>
        <v>13517.3</v>
      </c>
      <c r="D8" s="116">
        <v>14294.985174</v>
      </c>
      <c r="E8" s="116">
        <f t="shared" si="1"/>
        <v>27812.285174</v>
      </c>
      <c r="F8" s="113">
        <v>11</v>
      </c>
      <c r="G8" s="112">
        <f t="shared" si="4"/>
        <v>2.7812285174</v>
      </c>
      <c r="H8" s="114">
        <f t="shared" si="2"/>
        <v>3.95508672918514</v>
      </c>
      <c r="I8" s="120"/>
      <c r="J8" s="104" t="str">
        <f t="shared" si="3"/>
        <v>大地</v>
      </c>
      <c r="K8" s="104" t="s">
        <v>26</v>
      </c>
      <c r="L8" s="104">
        <v>172</v>
      </c>
    </row>
    <row r="9" spans="1:12">
      <c r="A9" s="104" t="str">
        <f t="shared" si="0"/>
        <v>天安</v>
      </c>
      <c r="B9" s="115" t="s">
        <v>27</v>
      </c>
      <c r="C9" s="116">
        <f>54360.5</f>
        <v>54360.5</v>
      </c>
      <c r="D9" s="116">
        <v>54512.165328</v>
      </c>
      <c r="E9" s="116">
        <f t="shared" si="1"/>
        <v>108872.665328</v>
      </c>
      <c r="F9" s="113">
        <v>52</v>
      </c>
      <c r="G9" s="112">
        <f t="shared" si="4"/>
        <v>10.8872665328</v>
      </c>
      <c r="H9" s="114">
        <f t="shared" si="2"/>
        <v>4.77622182237754</v>
      </c>
      <c r="I9" s="120"/>
      <c r="J9" s="104" t="str">
        <f t="shared" si="3"/>
        <v>鼎和</v>
      </c>
      <c r="K9" s="104" t="s">
        <v>28</v>
      </c>
      <c r="L9" s="104">
        <v>4</v>
      </c>
    </row>
    <row r="10" spans="1:12">
      <c r="A10" s="104" t="str">
        <f t="shared" si="0"/>
        <v>华安</v>
      </c>
      <c r="B10" s="115" t="s">
        <v>29</v>
      </c>
      <c r="C10" s="116">
        <f>28707.99</f>
        <v>28707.99</v>
      </c>
      <c r="D10" s="116">
        <v>30817.846459</v>
      </c>
      <c r="E10" s="116">
        <f t="shared" si="1"/>
        <v>59525.836459</v>
      </c>
      <c r="F10" s="113">
        <v>39</v>
      </c>
      <c r="G10" s="112">
        <f t="shared" si="4"/>
        <v>5.9525836459</v>
      </c>
      <c r="H10" s="114">
        <f t="shared" si="2"/>
        <v>6.55177689554388</v>
      </c>
      <c r="I10" s="120"/>
      <c r="J10" s="104" t="str">
        <f t="shared" si="3"/>
        <v>都邦</v>
      </c>
      <c r="K10" s="104" t="s">
        <v>30</v>
      </c>
      <c r="L10" s="104">
        <v>8</v>
      </c>
    </row>
    <row r="11" spans="1:12">
      <c r="A11" s="104" t="str">
        <f t="shared" si="0"/>
        <v>永安</v>
      </c>
      <c r="B11" s="115" t="s">
        <v>31</v>
      </c>
      <c r="C11" s="116">
        <f>28256.37</f>
        <v>28256.37</v>
      </c>
      <c r="D11" s="116">
        <v>35073.150251</v>
      </c>
      <c r="E11" s="116">
        <f t="shared" si="1"/>
        <v>63329.520251</v>
      </c>
      <c r="F11" s="113">
        <v>14</v>
      </c>
      <c r="G11" s="112">
        <f t="shared" si="4"/>
        <v>6.3329520251</v>
      </c>
      <c r="H11" s="114">
        <f t="shared" si="2"/>
        <v>2.21065941199498</v>
      </c>
      <c r="I11" s="120"/>
      <c r="J11" s="104" t="str">
        <f t="shared" si="3"/>
        <v>国任</v>
      </c>
      <c r="K11" s="104" t="s">
        <v>32</v>
      </c>
      <c r="L11" s="104">
        <v>8</v>
      </c>
    </row>
    <row r="12" spans="1:12">
      <c r="A12" s="104" t="str">
        <f t="shared" si="0"/>
        <v>太平</v>
      </c>
      <c r="B12" s="115" t="s">
        <v>33</v>
      </c>
      <c r="C12" s="116">
        <f>80978.7</f>
        <v>80978.7</v>
      </c>
      <c r="D12" s="116">
        <v>80321.035462</v>
      </c>
      <c r="E12" s="116">
        <f t="shared" si="1"/>
        <v>161299.735462</v>
      </c>
      <c r="F12" s="113">
        <v>19</v>
      </c>
      <c r="G12" s="112">
        <f t="shared" si="4"/>
        <v>16.1299735462</v>
      </c>
      <c r="H12" s="114">
        <f t="shared" si="2"/>
        <v>1.17793125609162</v>
      </c>
      <c r="I12" s="120"/>
      <c r="J12" s="104" t="str">
        <f t="shared" si="3"/>
        <v>国寿</v>
      </c>
      <c r="K12" s="104" t="s">
        <v>34</v>
      </c>
      <c r="L12" s="104">
        <v>182</v>
      </c>
    </row>
    <row r="13" spans="1:12">
      <c r="A13" s="104" t="str">
        <f t="shared" si="0"/>
        <v>亚太</v>
      </c>
      <c r="B13" s="115" t="s">
        <v>35</v>
      </c>
      <c r="C13" s="116">
        <f>36711.83</f>
        <v>36711.83</v>
      </c>
      <c r="D13" s="116">
        <v>38858.330736</v>
      </c>
      <c r="E13" s="116">
        <f t="shared" si="1"/>
        <v>75570.160736</v>
      </c>
      <c r="F13" s="113">
        <v>26</v>
      </c>
      <c r="G13" s="112">
        <f t="shared" si="4"/>
        <v>7.5570160736</v>
      </c>
      <c r="H13" s="114">
        <f t="shared" si="2"/>
        <v>3.44051140645704</v>
      </c>
      <c r="I13" s="120"/>
      <c r="J13" s="104" t="str">
        <f t="shared" si="3"/>
        <v>华安</v>
      </c>
      <c r="K13" s="104" t="s">
        <v>36</v>
      </c>
      <c r="L13" s="104">
        <v>39</v>
      </c>
    </row>
    <row r="14" spans="1:12">
      <c r="A14" s="104" t="str">
        <f t="shared" si="0"/>
        <v>中银</v>
      </c>
      <c r="B14" s="115" t="s">
        <v>37</v>
      </c>
      <c r="C14" s="116">
        <f>2696.55</f>
        <v>2696.55</v>
      </c>
      <c r="D14" s="116">
        <v>2964.469365</v>
      </c>
      <c r="E14" s="116">
        <f t="shared" si="1"/>
        <v>5661.019365</v>
      </c>
      <c r="F14" s="113">
        <v>1</v>
      </c>
      <c r="G14" s="112">
        <f t="shared" si="4"/>
        <v>0.5661019365</v>
      </c>
      <c r="H14" s="114">
        <f t="shared" si="2"/>
        <v>1.76646631202612</v>
      </c>
      <c r="I14" s="120"/>
      <c r="J14" s="104" t="str">
        <f t="shared" si="3"/>
        <v>华海</v>
      </c>
      <c r="K14" s="104" t="s">
        <v>38</v>
      </c>
      <c r="L14" s="104">
        <v>39</v>
      </c>
    </row>
    <row r="15" spans="1:12">
      <c r="A15" s="104" t="str">
        <f t="shared" si="0"/>
        <v>利宝</v>
      </c>
      <c r="B15" s="115" t="s">
        <v>39</v>
      </c>
      <c r="C15" s="116">
        <f>11799.96</f>
        <v>11799.96</v>
      </c>
      <c r="D15" s="116">
        <v>12408.1278</v>
      </c>
      <c r="E15" s="116">
        <f t="shared" si="1"/>
        <v>24208.0878</v>
      </c>
      <c r="F15" s="113">
        <v>12</v>
      </c>
      <c r="G15" s="112">
        <f t="shared" si="4"/>
        <v>2.42080878</v>
      </c>
      <c r="H15" s="114">
        <f t="shared" si="2"/>
        <v>4.95702101675292</v>
      </c>
      <c r="I15" s="120"/>
      <c r="J15" s="104" t="str">
        <f t="shared" si="3"/>
        <v>华泰</v>
      </c>
      <c r="K15" s="104" t="s">
        <v>40</v>
      </c>
      <c r="L15" s="104">
        <v>11</v>
      </c>
    </row>
    <row r="16" spans="1:12">
      <c r="A16" s="104" t="str">
        <f t="shared" si="0"/>
        <v>永诚</v>
      </c>
      <c r="B16" s="115" t="s">
        <v>41</v>
      </c>
      <c r="C16" s="116">
        <f>8998.82</f>
        <v>8998.82</v>
      </c>
      <c r="D16" s="116">
        <v>10479.734403</v>
      </c>
      <c r="E16" s="116">
        <f t="shared" si="1"/>
        <v>19478.554403</v>
      </c>
      <c r="F16" s="113">
        <v>17</v>
      </c>
      <c r="G16" s="112">
        <f t="shared" si="4"/>
        <v>1.9478554403</v>
      </c>
      <c r="H16" s="114">
        <f t="shared" si="2"/>
        <v>8.72754704906732</v>
      </c>
      <c r="I16" s="120"/>
      <c r="J16" s="104" t="str">
        <f t="shared" si="3"/>
        <v>利宝</v>
      </c>
      <c r="K16" s="104" t="s">
        <v>42</v>
      </c>
      <c r="L16" s="104">
        <v>12</v>
      </c>
    </row>
    <row r="17" spans="1:12">
      <c r="A17" s="104" t="str">
        <f t="shared" si="0"/>
        <v>安邦</v>
      </c>
      <c r="B17" s="115" t="s">
        <v>43</v>
      </c>
      <c r="C17" s="116">
        <f>5259.88</f>
        <v>5259.88</v>
      </c>
      <c r="D17" s="116">
        <v>6627.216375</v>
      </c>
      <c r="E17" s="116">
        <f t="shared" si="1"/>
        <v>11887.096375</v>
      </c>
      <c r="F17" s="113">
        <v>14</v>
      </c>
      <c r="G17" s="112">
        <f t="shared" si="4"/>
        <v>1.1887096375</v>
      </c>
      <c r="H17" s="114">
        <f t="shared" si="2"/>
        <v>11.7774766506005</v>
      </c>
      <c r="I17" s="120"/>
      <c r="J17" s="104" t="str">
        <f t="shared" si="3"/>
        <v>平安</v>
      </c>
      <c r="K17" s="104" t="s">
        <v>44</v>
      </c>
      <c r="L17" s="104">
        <v>79</v>
      </c>
    </row>
    <row r="18" spans="1:12">
      <c r="A18" s="104" t="str">
        <f t="shared" si="0"/>
        <v>国任</v>
      </c>
      <c r="B18" s="115" t="s">
        <v>45</v>
      </c>
      <c r="C18" s="116">
        <f>16135.94</f>
        <v>16135.94</v>
      </c>
      <c r="D18" s="116">
        <v>26756.176732</v>
      </c>
      <c r="E18" s="116">
        <f t="shared" si="1"/>
        <v>42892.116732</v>
      </c>
      <c r="F18" s="113">
        <v>8</v>
      </c>
      <c r="G18" s="112">
        <f t="shared" si="4"/>
        <v>4.2892116732</v>
      </c>
      <c r="H18" s="114">
        <f t="shared" si="2"/>
        <v>1.86514460220881</v>
      </c>
      <c r="I18" s="120"/>
      <c r="J18" s="104" t="str">
        <f t="shared" si="3"/>
        <v>平安</v>
      </c>
      <c r="K18" s="104" t="s">
        <v>46</v>
      </c>
      <c r="L18" s="104">
        <v>50</v>
      </c>
    </row>
    <row r="19" spans="1:12">
      <c r="A19" s="104" t="str">
        <f t="shared" si="0"/>
        <v>安华</v>
      </c>
      <c r="B19" s="115" t="s">
        <v>47</v>
      </c>
      <c r="C19" s="116">
        <f>51605.66</f>
        <v>51605.66</v>
      </c>
      <c r="D19" s="116">
        <v>38118.262784</v>
      </c>
      <c r="E19" s="116">
        <f t="shared" si="1"/>
        <v>89723.922784</v>
      </c>
      <c r="F19" s="113">
        <v>38</v>
      </c>
      <c r="G19" s="112">
        <f t="shared" si="4"/>
        <v>8.9723922784</v>
      </c>
      <c r="H19" s="114">
        <f t="shared" si="2"/>
        <v>4.23521384497205</v>
      </c>
      <c r="I19" s="120"/>
      <c r="J19" s="104" t="str">
        <f t="shared" si="3"/>
        <v>人保</v>
      </c>
      <c r="K19" s="104" t="s">
        <v>48</v>
      </c>
      <c r="L19" s="104">
        <v>240</v>
      </c>
    </row>
    <row r="20" spans="1:12">
      <c r="A20" s="104" t="str">
        <f t="shared" si="0"/>
        <v>安盛</v>
      </c>
      <c r="B20" s="115" t="s">
        <v>49</v>
      </c>
      <c r="C20" s="116">
        <f>53377.24</f>
        <v>53377.24</v>
      </c>
      <c r="D20" s="116">
        <v>76349.807459</v>
      </c>
      <c r="E20" s="116">
        <f t="shared" si="1"/>
        <v>129727.047459</v>
      </c>
      <c r="F20" s="113">
        <v>7</v>
      </c>
      <c r="G20" s="112">
        <f t="shared" si="4"/>
        <v>12.9727047459</v>
      </c>
      <c r="H20" s="114">
        <f t="shared" si="2"/>
        <v>0.539594489900985</v>
      </c>
      <c r="I20" s="120"/>
      <c r="J20" s="104" t="str">
        <f t="shared" si="3"/>
        <v>太平</v>
      </c>
      <c r="K20" s="104" t="s">
        <v>50</v>
      </c>
      <c r="L20" s="104">
        <v>19</v>
      </c>
    </row>
    <row r="21" spans="1:12">
      <c r="A21" s="104" t="str">
        <f t="shared" si="0"/>
        <v>阳光</v>
      </c>
      <c r="B21" s="115" t="s">
        <v>51</v>
      </c>
      <c r="C21" s="116">
        <f>163439.43</f>
        <v>163439.43</v>
      </c>
      <c r="D21" s="116">
        <v>137317.962754</v>
      </c>
      <c r="E21" s="116">
        <f t="shared" si="1"/>
        <v>300757.392754</v>
      </c>
      <c r="F21" s="113">
        <v>52</v>
      </c>
      <c r="G21" s="112">
        <f t="shared" si="4"/>
        <v>30.0757392754</v>
      </c>
      <c r="H21" s="114">
        <f t="shared" si="2"/>
        <v>1.72896830644268</v>
      </c>
      <c r="I21" s="120"/>
      <c r="J21" s="104" t="str">
        <f t="shared" si="3"/>
        <v>太平</v>
      </c>
      <c r="K21" s="104" t="s">
        <v>52</v>
      </c>
      <c r="L21" s="104">
        <v>52</v>
      </c>
    </row>
    <row r="22" spans="1:12">
      <c r="A22" s="104" t="str">
        <f t="shared" si="0"/>
        <v>都邦</v>
      </c>
      <c r="B22" s="115" t="s">
        <v>53</v>
      </c>
      <c r="C22" s="116">
        <f>9125.58</f>
        <v>9125.58</v>
      </c>
      <c r="D22" s="116">
        <v>8283.326634</v>
      </c>
      <c r="E22" s="116">
        <f t="shared" si="1"/>
        <v>17408.906634</v>
      </c>
      <c r="F22" s="113">
        <v>8</v>
      </c>
      <c r="G22" s="112">
        <f t="shared" si="4"/>
        <v>1.7408906634</v>
      </c>
      <c r="H22" s="114">
        <f t="shared" si="2"/>
        <v>4.59534890282875</v>
      </c>
      <c r="I22" s="120"/>
      <c r="J22" s="104" t="str">
        <f t="shared" si="3"/>
        <v>泰山</v>
      </c>
      <c r="K22" s="104" t="s">
        <v>54</v>
      </c>
      <c r="L22" s="104">
        <v>7</v>
      </c>
    </row>
    <row r="23" spans="1:12">
      <c r="A23" s="104" t="str">
        <f t="shared" si="0"/>
        <v>渤海</v>
      </c>
      <c r="B23" s="115" t="s">
        <v>55</v>
      </c>
      <c r="C23" s="116">
        <f>20615.63</f>
        <v>20615.63</v>
      </c>
      <c r="D23" s="116">
        <v>21729.904454</v>
      </c>
      <c r="E23" s="116">
        <f t="shared" si="1"/>
        <v>42345.534454</v>
      </c>
      <c r="F23" s="113">
        <v>13</v>
      </c>
      <c r="G23" s="112">
        <f t="shared" si="4"/>
        <v>4.2345534454</v>
      </c>
      <c r="H23" s="114">
        <f t="shared" si="2"/>
        <v>3.06998132568663</v>
      </c>
      <c r="I23" s="120"/>
      <c r="J23" s="104" t="str">
        <f t="shared" si="3"/>
        <v>天安</v>
      </c>
      <c r="K23" s="104" t="s">
        <v>56</v>
      </c>
      <c r="L23" s="104">
        <v>52</v>
      </c>
    </row>
    <row r="24" spans="1:12">
      <c r="A24" s="104" t="str">
        <f t="shared" si="0"/>
        <v>国寿</v>
      </c>
      <c r="B24" s="115" t="s">
        <v>57</v>
      </c>
      <c r="C24" s="116">
        <f>170841.91</f>
        <v>170841.91</v>
      </c>
      <c r="D24" s="116">
        <v>163294.665289</v>
      </c>
      <c r="E24" s="116">
        <f t="shared" si="1"/>
        <v>334136.575289</v>
      </c>
      <c r="F24" s="113">
        <v>182</v>
      </c>
      <c r="G24" s="112">
        <f t="shared" si="4"/>
        <v>33.4136575289</v>
      </c>
      <c r="H24" s="114">
        <f t="shared" si="2"/>
        <v>5.44687452556145</v>
      </c>
      <c r="I24" s="120"/>
      <c r="J24" s="104" t="str">
        <f t="shared" si="3"/>
        <v>鑫安</v>
      </c>
      <c r="K24" s="104" t="s">
        <v>58</v>
      </c>
      <c r="L24" s="104">
        <v>1</v>
      </c>
    </row>
    <row r="25" spans="1:12">
      <c r="A25" s="104" t="str">
        <f t="shared" si="0"/>
        <v>安诚</v>
      </c>
      <c r="B25" s="115" t="s">
        <v>59</v>
      </c>
      <c r="C25" s="116">
        <f>27160.41</f>
        <v>27160.41</v>
      </c>
      <c r="D25" s="116">
        <v>26298.22358</v>
      </c>
      <c r="E25" s="116">
        <f t="shared" si="1"/>
        <v>53458.63358</v>
      </c>
      <c r="F25" s="113">
        <v>12</v>
      </c>
      <c r="G25" s="112">
        <f t="shared" si="4"/>
        <v>5.345863358</v>
      </c>
      <c r="H25" s="114">
        <f t="shared" si="2"/>
        <v>2.24472628580044</v>
      </c>
      <c r="I25" s="120"/>
      <c r="J25" s="104" t="str">
        <f t="shared" si="3"/>
        <v>亚太</v>
      </c>
      <c r="K25" s="104" t="s">
        <v>60</v>
      </c>
      <c r="L25" s="104">
        <v>26</v>
      </c>
    </row>
    <row r="26" spans="1:12">
      <c r="A26" s="104" t="str">
        <f t="shared" si="0"/>
        <v>长安</v>
      </c>
      <c r="B26" s="115" t="s">
        <v>61</v>
      </c>
      <c r="C26" s="116">
        <f>17266.22</f>
        <v>17266.22</v>
      </c>
      <c r="D26" s="116">
        <v>14810.836075</v>
      </c>
      <c r="E26" s="116">
        <f t="shared" si="1"/>
        <v>32077.056075</v>
      </c>
      <c r="F26" s="113">
        <v>6</v>
      </c>
      <c r="G26" s="112">
        <f t="shared" si="4"/>
        <v>3.2077056075</v>
      </c>
      <c r="H26" s="114">
        <f t="shared" si="2"/>
        <v>1.87049584162938</v>
      </c>
      <c r="I26" s="120"/>
      <c r="J26" s="104" t="str">
        <f t="shared" si="3"/>
        <v>阳光</v>
      </c>
      <c r="K26" s="104" t="s">
        <v>62</v>
      </c>
      <c r="L26" s="104">
        <v>52</v>
      </c>
    </row>
    <row r="27" spans="1:12">
      <c r="A27" s="104" t="str">
        <f t="shared" si="0"/>
        <v>国元</v>
      </c>
      <c r="B27" s="115" t="s">
        <v>63</v>
      </c>
      <c r="C27" s="116">
        <f>73.08</f>
        <v>73.08</v>
      </c>
      <c r="D27" s="116">
        <v>0</v>
      </c>
      <c r="E27" s="116">
        <f t="shared" si="1"/>
        <v>73.08</v>
      </c>
      <c r="F27" s="113">
        <v>0</v>
      </c>
      <c r="G27" s="112">
        <f t="shared" si="4"/>
        <v>0.007308</v>
      </c>
      <c r="H27" s="114">
        <f t="shared" si="2"/>
        <v>0</v>
      </c>
      <c r="I27" s="120"/>
      <c r="J27" s="104" t="str">
        <f t="shared" si="3"/>
        <v>英大</v>
      </c>
      <c r="K27" s="104" t="s">
        <v>64</v>
      </c>
      <c r="L27" s="104">
        <v>4</v>
      </c>
    </row>
    <row r="28" spans="1:12">
      <c r="A28" s="104" t="str">
        <f t="shared" si="0"/>
        <v>鼎和</v>
      </c>
      <c r="B28" s="115" t="s">
        <v>65</v>
      </c>
      <c r="C28" s="116">
        <f>5565.01</f>
        <v>5565.01</v>
      </c>
      <c r="D28" s="116">
        <v>4954.896517</v>
      </c>
      <c r="E28" s="116">
        <f t="shared" si="1"/>
        <v>10519.906517</v>
      </c>
      <c r="F28" s="113">
        <v>4</v>
      </c>
      <c r="G28" s="112">
        <f t="shared" si="4"/>
        <v>1.0519906517</v>
      </c>
      <c r="H28" s="114">
        <f t="shared" si="2"/>
        <v>3.80231515701785</v>
      </c>
      <c r="I28" s="120"/>
      <c r="J28" s="104" t="str">
        <f t="shared" si="3"/>
        <v>永安</v>
      </c>
      <c r="K28" s="104" t="s">
        <v>66</v>
      </c>
      <c r="L28" s="104">
        <v>14</v>
      </c>
    </row>
    <row r="29" spans="1:12">
      <c r="A29" s="104" t="str">
        <f t="shared" si="0"/>
        <v>中煤</v>
      </c>
      <c r="B29" s="115" t="s">
        <v>67</v>
      </c>
      <c r="C29" s="116">
        <f>9872.42</f>
        <v>9872.42</v>
      </c>
      <c r="D29" s="116">
        <v>8181.437247</v>
      </c>
      <c r="E29" s="116">
        <f t="shared" si="1"/>
        <v>18053.857247</v>
      </c>
      <c r="F29" s="113">
        <v>2</v>
      </c>
      <c r="G29" s="112">
        <f t="shared" si="4"/>
        <v>1.8053857247</v>
      </c>
      <c r="H29" s="114">
        <f t="shared" si="2"/>
        <v>1.10779650721584</v>
      </c>
      <c r="I29" s="120"/>
      <c r="J29" s="104" t="str">
        <f t="shared" si="3"/>
        <v>永诚</v>
      </c>
      <c r="K29" s="104" t="s">
        <v>68</v>
      </c>
      <c r="L29" s="104">
        <v>17</v>
      </c>
    </row>
    <row r="30" spans="1:12">
      <c r="A30" s="104" t="str">
        <f t="shared" si="0"/>
        <v>国泰</v>
      </c>
      <c r="B30" s="115" t="s">
        <v>69</v>
      </c>
      <c r="C30" s="116">
        <f>2278.63</f>
        <v>2278.63</v>
      </c>
      <c r="D30" s="116">
        <v>2178.532727</v>
      </c>
      <c r="E30" s="116">
        <f t="shared" si="1"/>
        <v>4457.162727</v>
      </c>
      <c r="F30" s="113">
        <v>0</v>
      </c>
      <c r="G30" s="112">
        <f t="shared" si="4"/>
        <v>0.4457162727</v>
      </c>
      <c r="H30" s="114">
        <f t="shared" si="2"/>
        <v>0</v>
      </c>
      <c r="I30" s="120"/>
      <c r="J30" s="104" t="str">
        <f t="shared" si="3"/>
        <v>长安</v>
      </c>
      <c r="K30" s="104" t="s">
        <v>70</v>
      </c>
      <c r="L30" s="104">
        <v>6</v>
      </c>
    </row>
    <row r="31" spans="1:12">
      <c r="A31" s="104" t="str">
        <f t="shared" si="0"/>
        <v>英大</v>
      </c>
      <c r="B31" s="115" t="s">
        <v>71</v>
      </c>
      <c r="C31" s="116">
        <f>6222.68</f>
        <v>6222.68</v>
      </c>
      <c r="D31" s="116">
        <v>7803.871488</v>
      </c>
      <c r="E31" s="116">
        <f t="shared" si="1"/>
        <v>14026.551488</v>
      </c>
      <c r="F31" s="113">
        <v>4</v>
      </c>
      <c r="G31" s="112">
        <f t="shared" si="4"/>
        <v>1.4026551488</v>
      </c>
      <c r="H31" s="114">
        <f t="shared" si="2"/>
        <v>2.8517344433677</v>
      </c>
      <c r="I31" s="120"/>
      <c r="J31" s="104" t="str">
        <f t="shared" si="3"/>
        <v>长江</v>
      </c>
      <c r="K31" s="104" t="s">
        <v>72</v>
      </c>
      <c r="L31" s="104">
        <v>13</v>
      </c>
    </row>
    <row r="32" spans="1:12">
      <c r="A32" s="104" t="str">
        <f t="shared" si="0"/>
        <v>浙商</v>
      </c>
      <c r="B32" s="115" t="s">
        <v>73</v>
      </c>
      <c r="C32" s="116">
        <f>46893.56</f>
        <v>46893.56</v>
      </c>
      <c r="D32" s="116">
        <v>39968.132799</v>
      </c>
      <c r="E32" s="116">
        <f t="shared" si="1"/>
        <v>86861.692799</v>
      </c>
      <c r="F32" s="113">
        <v>17</v>
      </c>
      <c r="G32" s="112">
        <f t="shared" si="4"/>
        <v>8.6861692799</v>
      </c>
      <c r="H32" s="114">
        <f t="shared" si="2"/>
        <v>1.95713431919159</v>
      </c>
      <c r="I32" s="120"/>
      <c r="J32" s="104" t="str">
        <f t="shared" si="3"/>
        <v>浙商</v>
      </c>
      <c r="K32" s="104" t="s">
        <v>74</v>
      </c>
      <c r="L32" s="104">
        <v>17</v>
      </c>
    </row>
    <row r="33" spans="1:12">
      <c r="A33" s="104" t="str">
        <f t="shared" si="0"/>
        <v>紫金</v>
      </c>
      <c r="B33" s="115" t="s">
        <v>75</v>
      </c>
      <c r="C33" s="116">
        <f>18401.87</f>
        <v>18401.87</v>
      </c>
      <c r="D33" s="116">
        <v>17733.889811</v>
      </c>
      <c r="E33" s="116">
        <f t="shared" si="1"/>
        <v>36135.759811</v>
      </c>
      <c r="F33" s="113">
        <v>10</v>
      </c>
      <c r="G33" s="112">
        <f t="shared" si="4"/>
        <v>3.6135759811</v>
      </c>
      <c r="H33" s="114">
        <f t="shared" si="2"/>
        <v>2.76734183874997</v>
      </c>
      <c r="I33" s="120"/>
      <c r="J33" s="104" t="str">
        <f t="shared" si="3"/>
        <v>中华</v>
      </c>
      <c r="K33" s="104" t="s">
        <v>76</v>
      </c>
      <c r="L33" s="104">
        <v>45</v>
      </c>
    </row>
    <row r="34" spans="1:12">
      <c r="A34" s="104" t="str">
        <f t="shared" si="0"/>
        <v>泰山</v>
      </c>
      <c r="B34" s="115" t="s">
        <v>77</v>
      </c>
      <c r="C34" s="116">
        <f>26606.78</f>
        <v>26606.78</v>
      </c>
      <c r="D34" s="116">
        <v>26082.205713</v>
      </c>
      <c r="E34" s="116">
        <f t="shared" si="1"/>
        <v>52688.985713</v>
      </c>
      <c r="F34" s="113">
        <v>7</v>
      </c>
      <c r="G34" s="112">
        <f t="shared" si="4"/>
        <v>5.2688985713</v>
      </c>
      <c r="H34" s="114">
        <f t="shared" si="2"/>
        <v>1.32855091159458</v>
      </c>
      <c r="I34" s="120"/>
      <c r="J34" s="104" t="str">
        <f t="shared" si="3"/>
        <v>中路</v>
      </c>
      <c r="K34" s="104" t="s">
        <v>78</v>
      </c>
      <c r="L34" s="104">
        <v>15</v>
      </c>
    </row>
    <row r="35" spans="1:12">
      <c r="A35" s="104" t="str">
        <f t="shared" si="0"/>
        <v>众诚</v>
      </c>
      <c r="B35" s="115" t="s">
        <v>79</v>
      </c>
      <c r="C35" s="116">
        <f>2042.67</f>
        <v>2042.67</v>
      </c>
      <c r="D35" s="116">
        <v>2340.095617</v>
      </c>
      <c r="E35" s="116">
        <f t="shared" si="1"/>
        <v>4382.765617</v>
      </c>
      <c r="F35" s="113">
        <v>0</v>
      </c>
      <c r="G35" s="112">
        <f t="shared" si="4"/>
        <v>0.4382765617</v>
      </c>
      <c r="H35" s="114">
        <f t="shared" si="2"/>
        <v>0</v>
      </c>
      <c r="I35" s="120"/>
      <c r="J35" s="104" t="str">
        <f t="shared" si="3"/>
        <v>中煤</v>
      </c>
      <c r="K35" s="104" t="s">
        <v>80</v>
      </c>
      <c r="L35" s="104">
        <v>2</v>
      </c>
    </row>
    <row r="36" spans="1:12">
      <c r="A36" s="104" t="str">
        <f t="shared" si="0"/>
        <v>长江</v>
      </c>
      <c r="B36" s="115" t="s">
        <v>81</v>
      </c>
      <c r="C36" s="116">
        <f>7674.98</f>
        <v>7674.98</v>
      </c>
      <c r="D36" s="116">
        <v>4689.185939</v>
      </c>
      <c r="E36" s="116">
        <f t="shared" si="1"/>
        <v>12364.165939</v>
      </c>
      <c r="F36" s="113">
        <v>13</v>
      </c>
      <c r="G36" s="112">
        <f t="shared" si="4"/>
        <v>1.2364165939</v>
      </c>
      <c r="H36" s="114">
        <f t="shared" si="2"/>
        <v>10.5142555220764</v>
      </c>
      <c r="I36" s="120"/>
      <c r="J36" s="104" t="str">
        <f t="shared" si="3"/>
        <v>中银</v>
      </c>
      <c r="K36" s="104" t="s">
        <v>82</v>
      </c>
      <c r="L36" s="104">
        <v>1</v>
      </c>
    </row>
    <row r="37" spans="1:12">
      <c r="A37" s="104" t="str">
        <f t="shared" si="0"/>
        <v>鑫安</v>
      </c>
      <c r="B37" s="115" t="s">
        <v>83</v>
      </c>
      <c r="C37" s="116">
        <f>1638.27</f>
        <v>1638.27</v>
      </c>
      <c r="D37" s="116">
        <v>1316.650179</v>
      </c>
      <c r="E37" s="116">
        <f t="shared" si="1"/>
        <v>2954.920179</v>
      </c>
      <c r="F37" s="113">
        <v>1</v>
      </c>
      <c r="G37" s="112">
        <f t="shared" si="4"/>
        <v>0.2954920179</v>
      </c>
      <c r="H37" s="114">
        <f t="shared" si="2"/>
        <v>3.38418616890836</v>
      </c>
      <c r="I37" s="120"/>
      <c r="J37" s="104" t="str">
        <f t="shared" si="3"/>
        <v>紫金</v>
      </c>
      <c r="K37" s="104" t="s">
        <v>84</v>
      </c>
      <c r="L37" s="104">
        <v>10</v>
      </c>
    </row>
    <row r="38" spans="1:12">
      <c r="A38" s="104" t="str">
        <f t="shared" si="0"/>
        <v>众安</v>
      </c>
      <c r="B38" s="115" t="s">
        <v>85</v>
      </c>
      <c r="C38" s="116">
        <f>1803.33</f>
        <v>1803.33</v>
      </c>
      <c r="D38" s="116">
        <v>3257.725273</v>
      </c>
      <c r="E38" s="116">
        <f t="shared" si="1"/>
        <v>5061.055273</v>
      </c>
      <c r="F38" s="113">
        <v>0</v>
      </c>
      <c r="G38" s="112">
        <f t="shared" si="4"/>
        <v>0.5061055273</v>
      </c>
      <c r="H38" s="114">
        <f t="shared" si="2"/>
        <v>0</v>
      </c>
      <c r="I38" s="120"/>
      <c r="K38" s="104" t="s">
        <v>86</v>
      </c>
      <c r="L38" s="104">
        <v>1281</v>
      </c>
    </row>
    <row r="39" spans="1:9">
      <c r="A39" s="104" t="str">
        <f t="shared" si="0"/>
        <v>华海</v>
      </c>
      <c r="B39" s="115" t="s">
        <v>87</v>
      </c>
      <c r="C39" s="116">
        <f>76589.85</f>
        <v>76589.85</v>
      </c>
      <c r="D39" s="116">
        <v>85712.4361</v>
      </c>
      <c r="E39" s="116">
        <f t="shared" si="1"/>
        <v>162302.2861</v>
      </c>
      <c r="F39" s="113">
        <v>39</v>
      </c>
      <c r="G39" s="112">
        <f t="shared" si="4"/>
        <v>16.23022861</v>
      </c>
      <c r="H39" s="114">
        <f t="shared" si="2"/>
        <v>2.40292363941015</v>
      </c>
      <c r="I39" s="120"/>
    </row>
    <row r="40" spans="1:9">
      <c r="A40" s="104" t="str">
        <f t="shared" si="0"/>
        <v>中路</v>
      </c>
      <c r="B40" s="115" t="s">
        <v>88</v>
      </c>
      <c r="C40" s="116">
        <f>14095.06</f>
        <v>14095.06</v>
      </c>
      <c r="D40" s="116">
        <v>13339.046704</v>
      </c>
      <c r="E40" s="116">
        <f t="shared" si="1"/>
        <v>27434.106704</v>
      </c>
      <c r="F40" s="113">
        <v>15</v>
      </c>
      <c r="G40" s="112">
        <f t="shared" si="4"/>
        <v>2.7434106704</v>
      </c>
      <c r="H40" s="114">
        <f t="shared" si="2"/>
        <v>5.46764659110003</v>
      </c>
      <c r="I40" s="120"/>
    </row>
    <row r="41" spans="1:9">
      <c r="A41" s="104" t="str">
        <f t="shared" si="0"/>
        <v>泰康</v>
      </c>
      <c r="B41" s="115" t="s">
        <v>89</v>
      </c>
      <c r="C41" s="116">
        <f>3586.31</f>
        <v>3586.31</v>
      </c>
      <c r="D41" s="116">
        <v>3168.058295</v>
      </c>
      <c r="E41" s="116">
        <f t="shared" si="1"/>
        <v>6754.368295</v>
      </c>
      <c r="F41" s="113">
        <v>0</v>
      </c>
      <c r="G41" s="112">
        <f t="shared" si="4"/>
        <v>0.6754368295</v>
      </c>
      <c r="H41" s="114">
        <f t="shared" si="2"/>
        <v>0</v>
      </c>
      <c r="I41" s="120"/>
    </row>
    <row r="42" ht="15" spans="1:9">
      <c r="A42" s="107" t="s">
        <v>90</v>
      </c>
      <c r="B42" s="117" t="s">
        <v>91</v>
      </c>
      <c r="C42" s="118">
        <f>2492089.92</f>
        <v>2492089.92</v>
      </c>
      <c r="D42" s="118">
        <v>2476572.193972</v>
      </c>
      <c r="E42" s="118">
        <f t="shared" si="1"/>
        <v>4968662.113972</v>
      </c>
      <c r="F42" s="113">
        <v>1281</v>
      </c>
      <c r="G42" s="112">
        <f t="shared" si="4"/>
        <v>496.8662113972</v>
      </c>
      <c r="H42" s="114">
        <f t="shared" si="2"/>
        <v>2.57815880938613</v>
      </c>
      <c r="I42" s="120"/>
    </row>
  </sheetData>
  <mergeCells count="1">
    <mergeCell ref="B1:C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4"/>
  <sheetViews>
    <sheetView tabSelected="1" zoomScale="90" zoomScaleNormal="90" topLeftCell="A2" workbookViewId="0">
      <pane xSplit="3" ySplit="5" topLeftCell="D7" activePane="bottomRight" state="frozen"/>
      <selection/>
      <selection pane="topRight"/>
      <selection pane="bottomLeft"/>
      <selection pane="bottomRight" activeCell="S16" sqref="S16"/>
    </sheetView>
  </sheetViews>
  <sheetFormatPr defaultColWidth="9" defaultRowHeight="13.5"/>
  <cols>
    <col min="1" max="1" width="6.5" style="1" customWidth="1"/>
    <col min="2" max="2" width="14.025" style="1" customWidth="1"/>
    <col min="3" max="3" width="10.375" style="1" customWidth="1"/>
    <col min="4" max="4" width="10.6916666666667" style="1" customWidth="1"/>
    <col min="5" max="5" width="7.19166666666667" style="1" customWidth="1"/>
    <col min="6" max="6" width="10.6916666666667" style="1" customWidth="1"/>
    <col min="7" max="7" width="7.19166666666667" style="1" customWidth="1"/>
    <col min="8" max="8" width="10.6916666666667" style="1" customWidth="1"/>
    <col min="9" max="9" width="7.19166666666667" style="1" customWidth="1"/>
    <col min="10" max="10" width="10.6916666666667" style="1" customWidth="1"/>
    <col min="11" max="11" width="7.19166666666667" style="1" customWidth="1"/>
    <col min="12" max="12" width="10.6916666666667" style="2" customWidth="1"/>
    <col min="13" max="13" width="7.19166666666667" style="1" customWidth="1"/>
    <col min="14" max="14" width="10.6916666666667" style="2" customWidth="1"/>
    <col min="15" max="15" width="7.19166666666667" style="1" customWidth="1"/>
    <col min="16" max="16" width="10.6916666666667" style="1" customWidth="1"/>
    <col min="17" max="17" width="7.19166666666667" style="1" customWidth="1"/>
    <col min="18" max="18" width="10.6916666666667" style="1" customWidth="1"/>
    <col min="19" max="19" width="7.19166666666667" style="1" customWidth="1"/>
    <col min="20" max="20" width="10.6916666666667" style="2" customWidth="1"/>
    <col min="21" max="21" width="7.19166666666667" style="1" customWidth="1"/>
    <col min="22" max="22" width="10.6916666666667" style="2" customWidth="1"/>
    <col min="23" max="23" width="7.19166666666667" style="1" customWidth="1"/>
    <col min="24" max="24" width="10.6916666666667" style="1" customWidth="1"/>
    <col min="25" max="25" width="7.19166666666667" style="1" customWidth="1"/>
    <col min="26" max="26" width="10.8583333333333" style="1" customWidth="1"/>
    <col min="27" max="27" width="7.19166666666667" style="1" customWidth="1"/>
    <col min="28" max="30" width="8.69166666666667" style="3" customWidth="1"/>
    <col min="31" max="31" width="7.19166666666667" style="1" customWidth="1"/>
    <col min="32" max="32" width="12.925" style="1"/>
    <col min="33" max="16384" width="9" style="1"/>
  </cols>
  <sheetData>
    <row r="1" ht="30" customHeight="1" spans="1:31">
      <c r="A1" s="4" t="s">
        <v>92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ht="20" customHeight="1" spans="1:31">
      <c r="A2" s="6" t="s">
        <v>93</v>
      </c>
      <c r="B2" s="7" t="s">
        <v>94</v>
      </c>
      <c r="C2" s="8" t="s">
        <v>95</v>
      </c>
      <c r="D2" s="9" t="s">
        <v>96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53"/>
      <c r="T2" s="9" t="s">
        <v>97</v>
      </c>
      <c r="U2" s="10"/>
      <c r="V2" s="10"/>
      <c r="W2" s="10"/>
      <c r="X2" s="10"/>
      <c r="Y2" s="53"/>
      <c r="Z2" s="70" t="s">
        <v>98</v>
      </c>
      <c r="AA2" s="71"/>
      <c r="AB2" s="72" t="s">
        <v>99</v>
      </c>
      <c r="AC2" s="73"/>
      <c r="AD2" s="73"/>
      <c r="AE2" s="53"/>
    </row>
    <row r="3" ht="20" customHeight="1" spans="1:31">
      <c r="A3" s="11"/>
      <c r="B3" s="12"/>
      <c r="C3" s="13"/>
      <c r="D3" s="14" t="s">
        <v>100</v>
      </c>
      <c r="E3" s="15"/>
      <c r="F3" s="15"/>
      <c r="G3" s="15"/>
      <c r="H3" s="15"/>
      <c r="I3" s="15"/>
      <c r="J3" s="15"/>
      <c r="K3" s="47"/>
      <c r="L3" s="14" t="s">
        <v>101</v>
      </c>
      <c r="M3" s="15"/>
      <c r="N3" s="15"/>
      <c r="O3" s="15"/>
      <c r="P3" s="15"/>
      <c r="Q3" s="15"/>
      <c r="R3" s="15"/>
      <c r="S3" s="54"/>
      <c r="T3" s="14" t="s">
        <v>102</v>
      </c>
      <c r="U3" s="15"/>
      <c r="V3" s="15"/>
      <c r="W3" s="54"/>
      <c r="X3" s="14" t="s">
        <v>103</v>
      </c>
      <c r="Y3" s="47"/>
      <c r="Z3" s="74" t="s">
        <v>104</v>
      </c>
      <c r="AA3" s="75" t="s">
        <v>105</v>
      </c>
      <c r="AB3" s="76" t="s">
        <v>106</v>
      </c>
      <c r="AC3" s="77" t="s">
        <v>107</v>
      </c>
      <c r="AD3" s="77" t="s">
        <v>108</v>
      </c>
      <c r="AE3" s="78" t="s">
        <v>109</v>
      </c>
    </row>
    <row r="4" ht="20" customHeight="1" spans="1:31">
      <c r="A4" s="11"/>
      <c r="B4" s="12"/>
      <c r="C4" s="13"/>
      <c r="D4" s="16" t="s">
        <v>110</v>
      </c>
      <c r="E4" s="17"/>
      <c r="F4" s="17" t="s">
        <v>111</v>
      </c>
      <c r="G4" s="17"/>
      <c r="H4" s="17" t="s">
        <v>112</v>
      </c>
      <c r="I4" s="17"/>
      <c r="J4" s="17" t="s">
        <v>113</v>
      </c>
      <c r="K4" s="48"/>
      <c r="L4" s="16" t="s">
        <v>110</v>
      </c>
      <c r="M4" s="17"/>
      <c r="N4" s="17" t="s">
        <v>111</v>
      </c>
      <c r="O4" s="17"/>
      <c r="P4" s="17" t="s">
        <v>112</v>
      </c>
      <c r="Q4" s="17"/>
      <c r="R4" s="17" t="s">
        <v>113</v>
      </c>
      <c r="S4" s="55"/>
      <c r="T4" s="16" t="s">
        <v>114</v>
      </c>
      <c r="U4" s="17"/>
      <c r="V4" s="17" t="s">
        <v>115</v>
      </c>
      <c r="W4" s="55"/>
      <c r="X4" s="11" t="s">
        <v>116</v>
      </c>
      <c r="Y4" s="79" t="s">
        <v>117</v>
      </c>
      <c r="Z4" s="11" t="s">
        <v>116</v>
      </c>
      <c r="AA4" s="80" t="s">
        <v>117</v>
      </c>
      <c r="AB4" s="81"/>
      <c r="AC4" s="82"/>
      <c r="AD4" s="82"/>
      <c r="AE4" s="83"/>
    </row>
    <row r="5" ht="20" customHeight="1" spans="1:31">
      <c r="A5" s="18"/>
      <c r="B5" s="19"/>
      <c r="C5" s="20"/>
      <c r="D5" s="18" t="s">
        <v>116</v>
      </c>
      <c r="E5" s="21" t="s">
        <v>117</v>
      </c>
      <c r="F5" s="19" t="s">
        <v>116</v>
      </c>
      <c r="G5" s="21" t="s">
        <v>117</v>
      </c>
      <c r="H5" s="19" t="s">
        <v>116</v>
      </c>
      <c r="I5" s="21" t="s">
        <v>117</v>
      </c>
      <c r="J5" s="19" t="s">
        <v>116</v>
      </c>
      <c r="K5" s="49" t="s">
        <v>117</v>
      </c>
      <c r="L5" s="18" t="s">
        <v>116</v>
      </c>
      <c r="M5" s="21" t="s">
        <v>117</v>
      </c>
      <c r="N5" s="19" t="s">
        <v>116</v>
      </c>
      <c r="O5" s="21" t="s">
        <v>117</v>
      </c>
      <c r="P5" s="19" t="s">
        <v>116</v>
      </c>
      <c r="Q5" s="21" t="s">
        <v>117</v>
      </c>
      <c r="R5" s="19" t="s">
        <v>116</v>
      </c>
      <c r="S5" s="56" t="s">
        <v>117</v>
      </c>
      <c r="T5" s="18" t="s">
        <v>116</v>
      </c>
      <c r="U5" s="21" t="s">
        <v>117</v>
      </c>
      <c r="V5" s="19" t="s">
        <v>116</v>
      </c>
      <c r="W5" s="56" t="s">
        <v>117</v>
      </c>
      <c r="X5" s="18"/>
      <c r="Y5" s="49"/>
      <c r="Z5" s="18"/>
      <c r="AA5" s="84"/>
      <c r="AB5" s="81"/>
      <c r="AC5" s="82"/>
      <c r="AD5" s="82"/>
      <c r="AE5" s="83"/>
    </row>
    <row r="6" ht="17.25" spans="1:31">
      <c r="A6" s="22"/>
      <c r="B6" s="23" t="s">
        <v>118</v>
      </c>
      <c r="C6" s="24">
        <f>E6+G6+I6+K6+Q6+S6+M6+O6+AA6+U6+W6+Y6+AE6</f>
        <v>100</v>
      </c>
      <c r="D6" s="25">
        <v>5.86185278064611</v>
      </c>
      <c r="E6" s="26">
        <v>12</v>
      </c>
      <c r="F6" s="27">
        <v>83.8946634269259</v>
      </c>
      <c r="G6" s="26">
        <v>8</v>
      </c>
      <c r="H6" s="28">
        <v>11.5854548338488</v>
      </c>
      <c r="I6" s="26">
        <v>12</v>
      </c>
      <c r="J6" s="28">
        <v>79.5983571119758</v>
      </c>
      <c r="K6" s="50">
        <v>8</v>
      </c>
      <c r="L6" s="51">
        <v>6.38542115081073</v>
      </c>
      <c r="M6" s="26">
        <v>6</v>
      </c>
      <c r="N6" s="52">
        <v>105.193871706758</v>
      </c>
      <c r="O6" s="26">
        <v>4</v>
      </c>
      <c r="P6" s="28">
        <v>15.8010168907273</v>
      </c>
      <c r="Q6" s="26">
        <v>6</v>
      </c>
      <c r="R6" s="28">
        <v>90.3450630252101</v>
      </c>
      <c r="S6" s="57">
        <v>4</v>
      </c>
      <c r="T6" s="58">
        <v>0.90324550689234</v>
      </c>
      <c r="U6" s="26">
        <v>10</v>
      </c>
      <c r="V6" s="59">
        <v>0.835976738038594</v>
      </c>
      <c r="W6" s="57">
        <v>10</v>
      </c>
      <c r="X6" s="60">
        <v>0.989207339009474</v>
      </c>
      <c r="Y6" s="85">
        <v>10</v>
      </c>
      <c r="Z6" s="86">
        <v>10.8355469449418</v>
      </c>
      <c r="AA6" s="87">
        <v>10</v>
      </c>
      <c r="AB6" s="88">
        <v>0.00608402846866152</v>
      </c>
      <c r="AC6" s="89">
        <v>0.29405291005291</v>
      </c>
      <c r="AD6" s="89">
        <v>0.00359755366350881</v>
      </c>
      <c r="AE6" s="90"/>
    </row>
    <row r="7" ht="14.25" spans="1:31">
      <c r="A7" s="29">
        <f t="shared" ref="A7:A34" si="0">RANK(C7,$C$7:$C$34)</f>
        <v>1</v>
      </c>
      <c r="B7" s="30" t="s">
        <v>119</v>
      </c>
      <c r="C7" s="31">
        <f>E7+G7+I7+K7+Q7+S7+M7+O7+AA7+U7+W7+Y7-AE7</f>
        <v>92.854037168231</v>
      </c>
      <c r="D7" s="32">
        <v>2.97930283224401</v>
      </c>
      <c r="E7" s="33">
        <f>IF(D7="-",9.6,MAX(MIN(IF(D7&gt;D$6,(D$6-D7)*0.6+9.6,(D$6-D7)*0.6+9.6),12),0))</f>
        <v>11.3295299690413</v>
      </c>
      <c r="F7" s="34">
        <v>61.7202380952381</v>
      </c>
      <c r="G7" s="33">
        <f>IF(F7="-",6.4,MAX(MIN(IF(F7&gt;F$6,(F$6-F7)*0.1+6.4,(F$6-F7)*0.1+6.4),8),0))</f>
        <v>8</v>
      </c>
      <c r="H7" s="34">
        <v>10.4135625596944</v>
      </c>
      <c r="I7" s="33">
        <f>IF(H7="-",9.6,MAX(MIN(IF(H7&gt;H$6,(H$6-H7)*0.3+9.6,(H$6-H7)*0.6+9.6),12),0))</f>
        <v>10.3031353644926</v>
      </c>
      <c r="J7" s="34">
        <v>57.047821969697</v>
      </c>
      <c r="K7" s="33">
        <f>IF(J7="-",6.4,MAX(MIN(IF(J7&gt;J$6,(J$6-J7)*0.1+6.4,(J$6-J7)*0.2+6.4),8),0))</f>
        <v>8</v>
      </c>
      <c r="L7" s="32">
        <v>2.739522417154</v>
      </c>
      <c r="M7" s="33">
        <f>IF(L7="-",4.8,MAX(MIN(IF(L7&gt;L$6,(L$6-L7)*0.2+4.8,(L$6-L7)*0.2+4.8),6),0))</f>
        <v>5.52917974673135</v>
      </c>
      <c r="N7" s="34">
        <v>80.1666666666667</v>
      </c>
      <c r="O7" s="33">
        <f>IF(N7="-",3.2,MAX(MIN(IF(N7&gt;N$6,(N$6-N7)*0.05+3.2,(N$6-N7)*0.05+3.2),4),0))</f>
        <v>4</v>
      </c>
      <c r="P7" s="34">
        <v>10.9786036036036</v>
      </c>
      <c r="Q7" s="33">
        <f>IF(P7="-",4.8,MAX(MIN(IF(P7&gt;P$6,(P$6-P7)*0.2+4.8,(P$6-P7)*0.2+4.8),6),0))</f>
        <v>5.76448265742474</v>
      </c>
      <c r="R7" s="34">
        <v>73.171875</v>
      </c>
      <c r="S7" s="33">
        <f>IF(R7="-",3.2,MAX(MIN(IF(R7&gt;R$6,(R$6-R7)*0.05+3.2,(R$6-R7)*0.05+3.2),4),0))</f>
        <v>4</v>
      </c>
      <c r="T7" s="61">
        <v>0.926952141057935</v>
      </c>
      <c r="U7" s="33">
        <f>IF(T7="-",8,IF(T7&lt;1,MAX(MIN(IF(T7&gt;T$6,(T7-T$6)*100*0.5+8,(T7-T$6)*100*0.2+8),10),0),10))</f>
        <v>9.18533170827975</v>
      </c>
      <c r="V7" s="62">
        <v>0.88871473354232</v>
      </c>
      <c r="W7" s="33">
        <f>IF(V7="-",8,IF(V7&lt;1,MAX(MIN(IF(V7&gt;V$6,(V7-V$6)*100*0.5+8,(V7-V$6)*100*0.2+8),10),0),10))</f>
        <v>10</v>
      </c>
      <c r="X7" s="61">
        <v>0.984650805832694</v>
      </c>
      <c r="Y7" s="91">
        <f>IF(X7=X$6,8,IF(X7&lt;1,MAX(MIN(IF(X7&gt;X$6,(X7-X$6)*100*0.4+8,(X7-X$6)*100*0.2+8),10),0),10))</f>
        <v>7.9088693364644</v>
      </c>
      <c r="Z7" s="92">
        <v>9.83815327124129</v>
      </c>
      <c r="AA7" s="91">
        <f>MIN(MAX(IF(Z7=0,10,IF(Z7&lt;Z$6,8+(Z$6-Z7)*2,8+(Z$6-Z7)*0.4)),0),10)</f>
        <v>9.99478734740107</v>
      </c>
      <c r="AB7" s="93">
        <v>0</v>
      </c>
      <c r="AC7" s="94">
        <v>0.355907068709837</v>
      </c>
      <c r="AD7" s="94">
        <v>0.00460475825019187</v>
      </c>
      <c r="AE7" s="95">
        <f>MIN(2,IF(AB7&lt;AB$6*1.1,0,(AB7/AB$6-1.1)*10*0.4))+MIN(2,IF(AC7&lt;AC$6*1.1,0,(AC7/AC$6-1.1)*10*0.4))+MIN(2,IF(AD7&lt;AD$6*1.1,0,(AD7/AD$6-1.1)*10*0.4))</f>
        <v>1.16127896160424</v>
      </c>
    </row>
    <row r="8" ht="14.25" spans="1:31">
      <c r="A8" s="29">
        <f t="shared" si="0"/>
        <v>2</v>
      </c>
      <c r="B8" s="35" t="s">
        <v>120</v>
      </c>
      <c r="C8" s="36">
        <f>E8+G8+I8+K8+Q8+S8+M8+O8+AA8+U8+W8+Y8-AE8</f>
        <v>91.3687920310492</v>
      </c>
      <c r="D8" s="37">
        <v>2.99465811965812</v>
      </c>
      <c r="E8" s="38">
        <f>IF(D8="-",9.6,MAX(MIN(IF(D8&gt;D$6,(D$6-D8)*0.6+9.6,(D$6-D8)*0.6+9.6),12),0))</f>
        <v>11.3203167965928</v>
      </c>
      <c r="F8" s="39">
        <v>75.9375</v>
      </c>
      <c r="G8" s="38">
        <f>IF(F8="-",6.4,MAX(MIN(IF(F8&gt;F$6,(F$6-F8)*0.1+6.4,(F$6-F8)*0.1+6.4),8),0))</f>
        <v>7.19571634269259</v>
      </c>
      <c r="H8" s="39">
        <v>4.33974358974359</v>
      </c>
      <c r="I8" s="38">
        <f>IF(H8="-",9.6,MAX(MIN(IF(H8&gt;H$6,(H$6-H8)*0.3+9.6,(H$6-H8)*0.6+9.6),12),0))</f>
        <v>12</v>
      </c>
      <c r="J8" s="39">
        <v>91.1041666666667</v>
      </c>
      <c r="K8" s="38">
        <f>IF(J8="-",6.4,MAX(MIN(IF(J8&gt;J$6,(J$6-J8)*0.1+6.4,(J$6-J8)*0.2+6.4),8),0))</f>
        <v>5.24941904453091</v>
      </c>
      <c r="L8" s="37">
        <v>2.078125</v>
      </c>
      <c r="M8" s="38">
        <f>IF(L8="-",4.8,MAX(MIN(IF(L8&gt;L$6,(L$6-L8)*0.2+4.8,(L$6-L8)*0.2+4.8),6),0))</f>
        <v>5.66145923016215</v>
      </c>
      <c r="N8" s="39">
        <v>23.1527777777778</v>
      </c>
      <c r="O8" s="38">
        <f>IF(N8="-",3.2,MAX(MIN(IF(N8&gt;N$6,(N$6-N8)*0.05+3.2,(N$6-N8)*0.05+3.2),4),0))</f>
        <v>4</v>
      </c>
      <c r="P8" s="39">
        <v>3.29166666666667</v>
      </c>
      <c r="Q8" s="38">
        <f>IF(P8="-",4.8,MAX(MIN(IF(P8&gt;P$6,(P$6-P8)*0.2+4.8,(P$6-P8)*0.2+4.8),6),0))</f>
        <v>6</v>
      </c>
      <c r="R8" s="39">
        <v>13.1666666666667</v>
      </c>
      <c r="S8" s="38">
        <f>IF(R8="-",3.2,MAX(MIN(IF(R8&gt;R$6,(R$6-R8)*0.05+3.2,(R$6-R8)*0.05+3.2),4),0))</f>
        <v>4</v>
      </c>
      <c r="T8" s="63">
        <v>0.946428571428571</v>
      </c>
      <c r="U8" s="38">
        <f>IF(T8="-",8,IF(T8&lt;1,MAX(MIN(IF(T8&gt;T$6,(T8-T$6)*100*0.5+8,(T8-T$6)*100*0.2+8),10),0),10))</f>
        <v>10</v>
      </c>
      <c r="V8" s="64">
        <v>1.05263157894737</v>
      </c>
      <c r="W8" s="38">
        <f>IF(V8="-",8,IF(V8&lt;1,MAX(MIN(IF(V8&gt;V$6,(V8-V$6)*100*0.5+8,(V8-V$6)*100*0.2+8),10),0),10))</f>
        <v>10</v>
      </c>
      <c r="X8" s="63">
        <v>0.986301369863014</v>
      </c>
      <c r="Y8" s="96">
        <f>IF(X8=X$6,8,IF(X8&lt;1,MAX(MIN(IF(X8&gt;X$6,(X8-X$6)*100*0.4+8,(X8-X$6)*100*0.2+8),10),0),10))</f>
        <v>7.9418806170708</v>
      </c>
      <c r="Z8" s="97">
        <v>0</v>
      </c>
      <c r="AA8" s="96">
        <f>MIN(MAX(IF(Z8=0,10,IF(Z8&lt;Z$6,8+(Z$6-Z8)*2,8+(Z$6-Z8)*0.4)),0),10)</f>
        <v>10</v>
      </c>
      <c r="AB8" s="63">
        <v>0.0232558139534884</v>
      </c>
      <c r="AC8" s="98">
        <v>0.109756097560976</v>
      </c>
      <c r="AD8" s="98">
        <v>0</v>
      </c>
      <c r="AE8" s="96">
        <f>MIN(2,IF(AB8&lt;AB$6*1.1,0,(AB8/AB$6-1.1)*10*0.4))+MIN(2,IF(AC8&lt;AC$6*1.1,0,(AC8/AC$6-1.1)*10*0.4))+MIN(2,IF(AD8&lt;AD$6*1.1,0,(AD8/AD$6-1.1)*10*0.4))</f>
        <v>2</v>
      </c>
    </row>
    <row r="9" ht="14.25" spans="1:31">
      <c r="A9" s="29">
        <f t="shared" si="0"/>
        <v>3</v>
      </c>
      <c r="B9" s="40" t="s">
        <v>121</v>
      </c>
      <c r="C9" s="36">
        <f>E9+G9+I9+K9+Q9+S9+M9+O9+AA9+U9+W9+Y9-AE9</f>
        <v>87.1220992519779</v>
      </c>
      <c r="D9" s="37">
        <v>1.2286036036036</v>
      </c>
      <c r="E9" s="38">
        <f>IF(D9="-",9.6,MAX(MIN(IF(D9&gt;D$6,(D$6-D9)*0.6+9.6,(D$6-D9)*0.6+9.6),12),0))</f>
        <v>12</v>
      </c>
      <c r="F9" s="39">
        <v>48</v>
      </c>
      <c r="G9" s="38">
        <f>IF(F9="-",6.4,MAX(MIN(IF(F9&gt;F$6,(F$6-F9)*0.1+6.4,(F$6-F9)*0.1+6.4),8),0))</f>
        <v>8</v>
      </c>
      <c r="H9" s="39">
        <v>4.765625</v>
      </c>
      <c r="I9" s="38">
        <f>IF(H9="-",9.6,MAX(MIN(IF(H9&gt;H$6,(H$6-H9)*0.3+9.6,(H$6-H9)*0.6+9.6),12),0))</f>
        <v>12</v>
      </c>
      <c r="J9" s="39">
        <v>6.70833333333333</v>
      </c>
      <c r="K9" s="38">
        <f>IF(J9="-",6.4,MAX(MIN(IF(J9&gt;J$6,(J$6-J9)*0.1+6.4,(J$6-J9)*0.2+6.4),8),0))</f>
        <v>8</v>
      </c>
      <c r="L9" s="37">
        <v>1.92241379310345</v>
      </c>
      <c r="M9" s="38">
        <f>IF(L9="-",4.8,MAX(MIN(IF(L9&gt;L$6,(L$6-L9)*0.2+4.8,(L$6-L9)*0.2+4.8),6),0))</f>
        <v>5.69260147154146</v>
      </c>
      <c r="N9" s="39">
        <v>275.083333333333</v>
      </c>
      <c r="O9" s="38">
        <f>IF(N9="-",3.2,MAX(MIN(IF(N9&gt;N$6,(N$6-N9)*0.05+3.2,(N$6-N9)*0.05+3.2),4),0))</f>
        <v>0</v>
      </c>
      <c r="P9" s="39">
        <v>26.8219696969697</v>
      </c>
      <c r="Q9" s="38">
        <f>IF(P9="-",4.8,MAX(MIN(IF(P9&gt;P$6,(P$6-P9)*0.2+4.8,(P$6-P9)*0.2+4.8),6),0))</f>
        <v>2.59580943875152</v>
      </c>
      <c r="R9" s="39">
        <v>4.20833333333333</v>
      </c>
      <c r="S9" s="38">
        <f>IF(R9="-",3.2,MAX(MIN(IF(R9&gt;R$6,(R$6-R9)*0.05+3.2,(R$6-R9)*0.05+3.2),4),0))</f>
        <v>4</v>
      </c>
      <c r="T9" s="63">
        <v>0.925</v>
      </c>
      <c r="U9" s="38">
        <f>IF(T9="-",8,IF(T9&lt;1,MAX(MIN(IF(T9&gt;T$6,(T9-T$6)*100*0.5+8,(T9-T$6)*100*0.2+8),10),0),10))</f>
        <v>9.087724655383</v>
      </c>
      <c r="V9" s="64">
        <v>0.875</v>
      </c>
      <c r="W9" s="38">
        <f>IF(V9="-",8,IF(V9&lt;1,MAX(MIN(IF(V9&gt;V$6,(V9-V$6)*100*0.5+8,(V9-V$6)*100*0.2+8),10),0),10))</f>
        <v>9.9511630980703</v>
      </c>
      <c r="X9" s="63">
        <v>0.978947368421053</v>
      </c>
      <c r="Y9" s="96">
        <f>IF(X9=X$6,8,IF(X9&lt;1,MAX(MIN(IF(X9&gt;X$6,(X9-X$6)*100*0.4+8,(X9-X$6)*100*0.2+8),10),0),10))</f>
        <v>7.79480058823158</v>
      </c>
      <c r="Z9" s="97">
        <v>0</v>
      </c>
      <c r="AA9" s="96">
        <f>MIN(MAX(IF(Z9=0,10,IF(Z9&lt;Z$6,8+(Z$6-Z9)*2,8+(Z$6-Z9)*0.4)),0),10)</f>
        <v>10</v>
      </c>
      <c r="AB9" s="63">
        <v>0</v>
      </c>
      <c r="AC9" s="98">
        <v>0.0776699029126214</v>
      </c>
      <c r="AD9" s="98">
        <v>0.0105263157894737</v>
      </c>
      <c r="AE9" s="96">
        <f>MIN(2,IF(AB9&lt;AB$6*1.1,0,(AB9/AB$6-1.1)*10*0.4))+MIN(2,IF(AC9&lt;AC$6*1.1,0,(AC9/AC$6-1.1)*10*0.4))+MIN(2,IF(AD9&lt;AD$6*1.1,0,(AD9/AD$6-1.1)*10*0.4))</f>
        <v>2</v>
      </c>
    </row>
    <row r="10" ht="14.25" spans="1:31">
      <c r="A10" s="29">
        <f t="shared" si="0"/>
        <v>4</v>
      </c>
      <c r="B10" s="35" t="s">
        <v>48</v>
      </c>
      <c r="C10" s="36">
        <f>E10+G10+I10+K10+Q10+S10+M10+O10+AA10+U10+W10+Y10-AE10</f>
        <v>86.9478629173608</v>
      </c>
      <c r="D10" s="37">
        <v>4.20044642857143</v>
      </c>
      <c r="E10" s="38">
        <f>IF(D10="-",9.6,MAX(MIN(IF(D10&gt;D$6,(D$6-D10)*0.6+9.6,(D$6-D10)*0.6+9.6),12),0))</f>
        <v>10.5968438112448</v>
      </c>
      <c r="F10" s="39">
        <v>42.7529761904762</v>
      </c>
      <c r="G10" s="38">
        <f>IF(F10="-",6.4,MAX(MIN(IF(F10&gt;F$6,(F$6-F10)*0.1+6.4,(F$6-F10)*0.1+6.4),8),0))</f>
        <v>8</v>
      </c>
      <c r="H10" s="39">
        <v>7.24153087478559</v>
      </c>
      <c r="I10" s="38">
        <f>IF(H10="-",9.6,MAX(MIN(IF(H10&gt;H$6,(H$6-H10)*0.3+9.6,(H$6-H10)*0.6+9.6),12),0))</f>
        <v>12</v>
      </c>
      <c r="J10" s="39">
        <v>46.4614864864865</v>
      </c>
      <c r="K10" s="38">
        <f>IF(J10="-",6.4,MAX(MIN(IF(J10&gt;J$6,(J$6-J10)*0.1+6.4,(J$6-J10)*0.2+6.4),8),0))</f>
        <v>8</v>
      </c>
      <c r="L10" s="37">
        <v>5.4890318627451</v>
      </c>
      <c r="M10" s="38">
        <f>IF(L10="-",4.8,MAX(MIN(IF(L10&gt;L$6,(L$6-L10)*0.2+4.8,(L$6-L10)*0.2+4.8),6),0))</f>
        <v>4.97927785761313</v>
      </c>
      <c r="N10" s="39">
        <v>31.1427777777778</v>
      </c>
      <c r="O10" s="38">
        <f>IF(N10="-",3.2,MAX(MIN(IF(N10&gt;N$6,(N$6-N10)*0.05+3.2,(N$6-N10)*0.05+3.2),4),0))</f>
        <v>4</v>
      </c>
      <c r="P10" s="39">
        <v>9.44102990033223</v>
      </c>
      <c r="Q10" s="38">
        <f>IF(P10="-",4.8,MAX(MIN(IF(P10&gt;P$6,(P$6-P10)*0.2+4.8,(P$6-P10)*0.2+4.8),6),0))</f>
        <v>6</v>
      </c>
      <c r="R10" s="39">
        <v>117.192164179104</v>
      </c>
      <c r="S10" s="38">
        <f>IF(R10="-",3.2,MAX(MIN(IF(R10&gt;R$6,(R$6-R10)*0.05+3.2,(R$6-R10)*0.05+3.2),4),0))</f>
        <v>1.8576449423053</v>
      </c>
      <c r="T10" s="63">
        <v>0.848574237954769</v>
      </c>
      <c r="U10" s="38">
        <f>IF(T10="-",8,IF(T10&lt;1,MAX(MIN(IF(T10&gt;T$6,(T10-T$6)*100*0.5+8,(T10-T$6)*100*0.2+8),10),0),10))</f>
        <v>6.90657462124858</v>
      </c>
      <c r="V10" s="64">
        <v>0.762596071733561</v>
      </c>
      <c r="W10" s="38">
        <f>IF(V10="-",8,IF(V10&lt;1,MAX(MIN(IF(V10&gt;V$6,(V10-V$6)*100*0.5+8,(V10-V$6)*100*0.2+8),10),0),10))</f>
        <v>6.53238667389934</v>
      </c>
      <c r="X10" s="63">
        <v>0.991085714285714</v>
      </c>
      <c r="Y10" s="96">
        <f>IF(X10=X$6,8,IF(X10&lt;1,MAX(MIN(IF(X10&gt;X$6,(X10-X$6)*100*0.4+8,(X10-X$6)*100*0.2+8),10),0),10))</f>
        <v>8.0751350110496</v>
      </c>
      <c r="Z10" s="97">
        <v>8.44010023396715</v>
      </c>
      <c r="AA10" s="96">
        <f>MIN(MAX(IF(Z10=0,10,IF(Z10&lt;Z$6,8+(Z$6-Z10)*2,8+(Z$6-Z10)*0.4)),0),10)</f>
        <v>10</v>
      </c>
      <c r="AB10" s="63">
        <v>0.00108357036435058</v>
      </c>
      <c r="AC10" s="98">
        <v>0.31178228724241</v>
      </c>
      <c r="AD10" s="98">
        <v>0.000228571428571429</v>
      </c>
      <c r="AE10" s="96">
        <f>MIN(2,IF(AB10&lt;AB$6*1.1,0,(AB10/AB$6-1.1)*10*0.4))+MIN(2,IF(AC10&lt;AC$6*1.1,0,(AC10/AC$6-1.1)*10*0.4))+MIN(2,IF(AD10&lt;AD$6*1.1,0,(AD10/AD$6-1.1)*10*0.4))</f>
        <v>0</v>
      </c>
    </row>
    <row r="11" ht="14.25" spans="1:31">
      <c r="A11" s="29">
        <f t="shared" si="0"/>
        <v>5</v>
      </c>
      <c r="B11" s="40" t="s">
        <v>122</v>
      </c>
      <c r="C11" s="36">
        <f>E11+G11+I11+K11+Q11+S11+M11+O11+AA11+U11+W11+Y11-AE11</f>
        <v>86.733563098732</v>
      </c>
      <c r="D11" s="37">
        <v>1.86069651741294</v>
      </c>
      <c r="E11" s="38">
        <f>IF(D11="-",9.6,MAX(MIN(IF(D11&gt;D$6,(D$6-D11)*0.6+9.6,(D$6-D11)*0.6+9.6),12),0))</f>
        <v>12</v>
      </c>
      <c r="F11" s="39">
        <v>63.3055555555556</v>
      </c>
      <c r="G11" s="38">
        <f>IF(F11="-",6.4,MAX(MIN(IF(F11&gt;F$6,(F$6-F11)*0.1+6.4,(F$6-F11)*0.1+6.4),8),0))</f>
        <v>8</v>
      </c>
      <c r="H11" s="39">
        <v>4.00595238095238</v>
      </c>
      <c r="I11" s="38">
        <f>IF(H11="-",9.6,MAX(MIN(IF(H11&gt;H$6,(H$6-H11)*0.3+9.6,(H$6-H11)*0.6+9.6),12),0))</f>
        <v>12</v>
      </c>
      <c r="J11" s="39">
        <v>66.6583333333333</v>
      </c>
      <c r="K11" s="38">
        <f>IF(J11="-",6.4,MAX(MIN(IF(J11&gt;J$6,(J$6-J11)*0.1+6.4,(J$6-J11)*0.2+6.4),8),0))</f>
        <v>8</v>
      </c>
      <c r="L11" s="37">
        <v>2.41145833333333</v>
      </c>
      <c r="M11" s="38">
        <f>IF(L11="-",4.8,MAX(MIN(IF(L11&gt;L$6,(L$6-L11)*0.2+4.8,(L$6-L11)*0.2+4.8),6),0))</f>
        <v>5.59479256349548</v>
      </c>
      <c r="N11" s="39">
        <v>23.4583333333333</v>
      </c>
      <c r="O11" s="38">
        <f>IF(N11="-",3.2,MAX(MIN(IF(N11&gt;N$6,(N$6-N11)*0.05+3.2,(N$6-N11)*0.05+3.2),4),0))</f>
        <v>4</v>
      </c>
      <c r="P11" s="39">
        <v>6.09375</v>
      </c>
      <c r="Q11" s="38">
        <f>IF(P11="-",4.8,MAX(MIN(IF(P11&gt;P$6,(P$6-P11)*0.2+4.8,(P$6-P11)*0.2+4.8),6),0))</f>
        <v>6</v>
      </c>
      <c r="R11" s="39" t="s">
        <v>123</v>
      </c>
      <c r="S11" s="38">
        <f>IF(R11="-",3.2,MAX(MIN(IF(R11&gt;R$6,(R$6-R11)*0.05+3.2,(R$6-R11)*0.05+3.2),4),0))</f>
        <v>3.2</v>
      </c>
      <c r="T11" s="63">
        <v>0.912087912087912</v>
      </c>
      <c r="U11" s="38">
        <f>IF(T11="-",8,IF(T11&lt;1,MAX(MIN(IF(T11&gt;T$6,(T11-T$6)*100*0.5+8,(T11-T$6)*100*0.2+8),10),0),10))</f>
        <v>8.4421202597786</v>
      </c>
      <c r="V11" s="64">
        <v>0.755102040816327</v>
      </c>
      <c r="W11" s="38">
        <f>IF(V11="-",8,IF(V11&lt;1,MAX(MIN(IF(V11&gt;V$6,(V11-V$6)*100*0.5+8,(V11-V$6)*100*0.2+8),10),0),10))</f>
        <v>6.38250605555466</v>
      </c>
      <c r="X11" s="63">
        <v>1</v>
      </c>
      <c r="Y11" s="96">
        <f>IF(X11=X$6,8,IF(X11&lt;1,MAX(MIN(IF(X11&gt;X$6,(X11-X$6)*100*0.4+8,(X11-X$6)*100*0.2+8),10),0),10))</f>
        <v>10</v>
      </c>
      <c r="Z11" s="97">
        <v>11.1531775881978</v>
      </c>
      <c r="AA11" s="96">
        <f>MIN(MAX(IF(Z11=0,10,IF(Z11&lt;Z$6,8+(Z$6-Z11)*2,8+(Z$6-Z11)*0.4)),0),10)</f>
        <v>7.87294774269762</v>
      </c>
      <c r="AB11" s="63">
        <v>0.00843881856540085</v>
      </c>
      <c r="AC11" s="98">
        <v>0.441860465116279</v>
      </c>
      <c r="AD11" s="98">
        <v>0.0166666666666667</v>
      </c>
      <c r="AE11" s="96">
        <f>MIN(2,IF(AB11&lt;AB$6*1.1,0,(AB11/AB$6-1.1)*10*0.4))+MIN(2,IF(AC11&lt;AC$6*1.1,0,(AC11/AC$6-1.1)*10*0.4))+MIN(2,IF(AD11&lt;AD$6*1.1,0,(AD11/AD$6-1.1)*10*0.4))</f>
        <v>4.75880352279438</v>
      </c>
    </row>
    <row r="12" ht="14.25" spans="1:31">
      <c r="A12" s="29">
        <f t="shared" si="0"/>
        <v>6</v>
      </c>
      <c r="B12" s="40" t="s">
        <v>124</v>
      </c>
      <c r="C12" s="36">
        <f>E12+G12+I12+K12+Q12+S12+M12+O12+AA12+U12+W12+Y12-AE12</f>
        <v>86.614471401333</v>
      </c>
      <c r="D12" s="37">
        <v>5.35193452380952</v>
      </c>
      <c r="E12" s="38">
        <f>IF(D12="-",9.6,MAX(MIN(IF(D12&gt;D$6,(D$6-D12)*0.6+9.6,(D$6-D12)*0.6+9.6),12),0))</f>
        <v>9.90595095410195</v>
      </c>
      <c r="F12" s="39">
        <v>35.3690476190476</v>
      </c>
      <c r="G12" s="38">
        <f>IF(F12="-",6.4,MAX(MIN(IF(F12&gt;F$6,(F$6-F12)*0.1+6.4,(F$6-F12)*0.1+6.4),8),0))</f>
        <v>8</v>
      </c>
      <c r="H12" s="39">
        <v>3.43201754385965</v>
      </c>
      <c r="I12" s="38">
        <f>IF(H12="-",9.6,MAX(MIN(IF(H12&gt;H$6,(H$6-H12)*0.3+9.6,(H$6-H12)*0.6+9.6),12),0))</f>
        <v>12</v>
      </c>
      <c r="J12" s="39">
        <v>33.3666666666667</v>
      </c>
      <c r="K12" s="38">
        <f>IF(J12="-",6.4,MAX(MIN(IF(J12&gt;J$6,(J$6-J12)*0.1+6.4,(J$6-J12)*0.2+6.4),8),0))</f>
        <v>8</v>
      </c>
      <c r="L12" s="37">
        <v>5.03125</v>
      </c>
      <c r="M12" s="38">
        <f>IF(L12="-",4.8,MAX(MIN(IF(L12&gt;L$6,(L$6-L12)*0.2+4.8,(L$6-L12)*0.2+4.8),6),0))</f>
        <v>5.07083423016215</v>
      </c>
      <c r="N12" s="39">
        <v>156.020833333333</v>
      </c>
      <c r="O12" s="38">
        <f>IF(N12="-",3.2,MAX(MIN(IF(N12&gt;N$6,(N$6-N12)*0.05+3.2,(N$6-N12)*0.05+3.2),4),0))</f>
        <v>0.65865191867125</v>
      </c>
      <c r="P12" s="39">
        <v>27.5160256410256</v>
      </c>
      <c r="Q12" s="38">
        <f>IF(P12="-",4.8,MAX(MIN(IF(P12&gt;P$6,(P$6-P12)*0.2+4.8,(P$6-P12)*0.2+4.8),6),0))</f>
        <v>2.45699824994034</v>
      </c>
      <c r="R12" s="39">
        <v>6</v>
      </c>
      <c r="S12" s="38">
        <f>IF(R12="-",3.2,MAX(MIN(IF(R12&gt;R$6,(R$6-R12)*0.05+3.2,(R$6-R12)*0.05+3.2),4),0))</f>
        <v>4</v>
      </c>
      <c r="T12" s="63">
        <v>0.923076923076923</v>
      </c>
      <c r="U12" s="38">
        <f>IF(T12="-",8,IF(T12&lt;1,MAX(MIN(IF(T12&gt;T$6,(T12-T$6)*100*0.5+8,(T12-T$6)*100*0.2+8),10),0),10))</f>
        <v>8.99157080922915</v>
      </c>
      <c r="V12" s="64">
        <v>0.8125</v>
      </c>
      <c r="W12" s="38">
        <f>IF(V12="-",8,IF(V12&lt;1,MAX(MIN(IF(V12&gt;V$6,(V12-V$6)*100*0.5+8,(V12-V$6)*100*0.2+8),10),0),10))</f>
        <v>7.53046523922812</v>
      </c>
      <c r="X12" s="63">
        <v>1</v>
      </c>
      <c r="Y12" s="96">
        <f>IF(X12=X$6,8,IF(X12&lt;1,MAX(MIN(IF(X12&gt;X$6,(X12-X$6)*100*0.4+8,(X12-X$6)*100*0.2+8),10),0),10))</f>
        <v>10</v>
      </c>
      <c r="Z12" s="97">
        <v>0</v>
      </c>
      <c r="AA12" s="96">
        <f>MIN(MAX(IF(Z12=0,10,IF(Z12&lt;Z$6,8+(Z$6-Z12)*2,8+(Z$6-Z12)*0.4)),0),10)</f>
        <v>10</v>
      </c>
      <c r="AB12" s="63">
        <v>0</v>
      </c>
      <c r="AC12" s="98">
        <v>0.269736842105263</v>
      </c>
      <c r="AD12" s="98">
        <v>0</v>
      </c>
      <c r="AE12" s="96">
        <f>MIN(2,IF(AB12&lt;AB$6*1.1,0,(AB12/AB$6-1.1)*10*0.4))+MIN(2,IF(AC12&lt;AC$6*1.1,0,(AC12/AC$6-1.1)*10*0.4))+MIN(2,IF(AD12&lt;AD$6*1.1,0,(AD12/AD$6-1.1)*10*0.4))</f>
        <v>0</v>
      </c>
    </row>
    <row r="13" ht="14.25" spans="1:31">
      <c r="A13" s="29">
        <f t="shared" si="0"/>
        <v>7</v>
      </c>
      <c r="B13" s="40" t="s">
        <v>50</v>
      </c>
      <c r="C13" s="36">
        <f>E13+G13+I13+K13+Q13+S13+M13+O13+AA13+U13+W13+Y13-AE13</f>
        <v>85.8612789832138</v>
      </c>
      <c r="D13" s="37">
        <v>4.1646884272997</v>
      </c>
      <c r="E13" s="38">
        <f>IF(D13="-",9.6,MAX(MIN(IF(D13&gt;D$6,(D$6-D13)*0.6+9.6,(D$6-D13)*0.6+9.6),12),0))</f>
        <v>10.6182986120078</v>
      </c>
      <c r="F13" s="39">
        <v>42.4710648148148</v>
      </c>
      <c r="G13" s="38">
        <f>IF(F13="-",6.4,MAX(MIN(IF(F13&gt;F$6,(F$6-F13)*0.1+6.4,(F$6-F13)*0.1+6.4),8),0))</f>
        <v>8</v>
      </c>
      <c r="H13" s="39">
        <v>13.3533653846154</v>
      </c>
      <c r="I13" s="38">
        <f>IF(H13="-",9.6,MAX(MIN(IF(H13&gt;H$6,(H$6-H13)*0.3+9.6,(H$6-H13)*0.6+9.6),12),0))</f>
        <v>9.06962683477002</v>
      </c>
      <c r="J13" s="39">
        <v>38.6446078431373</v>
      </c>
      <c r="K13" s="38">
        <f>IF(J13="-",6.4,MAX(MIN(IF(J13&gt;J$6,(J$6-J13)*0.1+6.4,(J$6-J13)*0.2+6.4),8),0))</f>
        <v>8</v>
      </c>
      <c r="L13" s="37">
        <v>2.85358796296296</v>
      </c>
      <c r="M13" s="38">
        <f>IF(L13="-",4.8,MAX(MIN(IF(L13&gt;L$6,(L$6-L13)*0.2+4.8,(L$6-L13)*0.2+4.8),6),0))</f>
        <v>5.50636663756955</v>
      </c>
      <c r="N13" s="39">
        <v>167.434523809524</v>
      </c>
      <c r="O13" s="38">
        <f>IF(N13="-",3.2,MAX(MIN(IF(N13&gt;N$6,(N$6-N13)*0.05+3.2,(N$6-N13)*0.05+3.2),4),0))</f>
        <v>0.0879673948617006</v>
      </c>
      <c r="P13" s="39">
        <v>12.0906862745098</v>
      </c>
      <c r="Q13" s="38">
        <f>IF(P13="-",4.8,MAX(MIN(IF(P13&gt;P$6,(P$6-P13)*0.2+4.8,(P$6-P13)*0.2+4.8),6),0))</f>
        <v>5.5420661232435</v>
      </c>
      <c r="R13" s="39">
        <v>105.325</v>
      </c>
      <c r="S13" s="38">
        <f>IF(R13="-",3.2,MAX(MIN(IF(R13&gt;R$6,(R$6-R13)*0.05+3.2,(R$6-R13)*0.05+3.2),4),0))</f>
        <v>2.4510031512605</v>
      </c>
      <c r="T13" s="63">
        <v>0.924006908462867</v>
      </c>
      <c r="U13" s="38">
        <f>IF(T13="-",8,IF(T13&lt;1,MAX(MIN(IF(T13&gt;T$6,(T13-T$6)*100*0.5+8,(T13-T$6)*100*0.2+8),10),0),10))</f>
        <v>9.03807007852635</v>
      </c>
      <c r="V13" s="64">
        <v>0.888571428571429</v>
      </c>
      <c r="W13" s="38">
        <f>IF(V13="-",8,IF(V13&lt;1,MAX(MIN(IF(V13&gt;V$6,(V13-V$6)*100*0.5+8,(V13-V$6)*100*0.2+8),10),0),10))</f>
        <v>10</v>
      </c>
      <c r="X13" s="63">
        <v>0.991725768321513</v>
      </c>
      <c r="Y13" s="96">
        <f>IF(X13=X$6,8,IF(X13&lt;1,MAX(MIN(IF(X13&gt;X$6,(X13-X$6)*100*0.4+8,(X13-X$6)*100*0.2+8),10),0),10))</f>
        <v>8.10073717248156</v>
      </c>
      <c r="Z13" s="97">
        <v>10.1119754556954</v>
      </c>
      <c r="AA13" s="96">
        <f>MIN(MAX(IF(Z13=0,10,IF(Z13&lt;Z$6,8+(Z$6-Z13)*2,8+(Z$6-Z13)*0.4)),0),10)</f>
        <v>9.44714297849276</v>
      </c>
      <c r="AB13" s="63">
        <v>0</v>
      </c>
      <c r="AC13" s="98">
        <v>0.303703703703704</v>
      </c>
      <c r="AD13" s="98">
        <v>0</v>
      </c>
      <c r="AE13" s="96">
        <f>MIN(2,IF(AB13&lt;AB$6*1.1,0,(AB13/AB$6-1.1)*10*0.4))+MIN(2,IF(AC13&lt;AC$6*1.1,0,(AC13/AC$6-1.1)*10*0.4))+MIN(2,IF(AD13&lt;AD$6*1.1,0,(AD13/AD$6-1.1)*10*0.4))</f>
        <v>0</v>
      </c>
    </row>
    <row r="14" ht="14.25" spans="1:31">
      <c r="A14" s="29">
        <f t="shared" si="0"/>
        <v>8</v>
      </c>
      <c r="B14" s="35" t="s">
        <v>125</v>
      </c>
      <c r="C14" s="36">
        <f>E14+G14+I14+K14+Q14+S14+M14+O14+AA14+U14+W14+Y14-AE14</f>
        <v>84.2733073419005</v>
      </c>
      <c r="D14" s="37">
        <v>14.8090277777778</v>
      </c>
      <c r="E14" s="38">
        <f>IF(D14="-",9.6,MAX(MIN(IF(D14&gt;D$6,(D$6-D14)*0.6+9.6,(D$6-D14)*0.6+9.6),12),0))</f>
        <v>4.23169500172099</v>
      </c>
      <c r="F14" s="39">
        <v>29.2166666666667</v>
      </c>
      <c r="G14" s="38">
        <f>IF(F14="-",6.4,MAX(MIN(IF(F14&gt;F$6,(F$6-F14)*0.1+6.4,(F$6-F14)*0.1+6.4),8),0))</f>
        <v>8</v>
      </c>
      <c r="H14" s="39">
        <v>5.65079365079365</v>
      </c>
      <c r="I14" s="38">
        <f>IF(H14="-",9.6,MAX(MIN(IF(H14&gt;H$6,(H$6-H14)*0.3+9.6,(H$6-H14)*0.6+9.6),12),0))</f>
        <v>12</v>
      </c>
      <c r="J14" s="39">
        <v>11.28125</v>
      </c>
      <c r="K14" s="38">
        <f>IF(J14="-",6.4,MAX(MIN(IF(J14&gt;J$6,(J$6-J14)*0.1+6.4,(J$6-J14)*0.2+6.4),8),0))</f>
        <v>8</v>
      </c>
      <c r="L14" s="37">
        <v>4.3578431372549</v>
      </c>
      <c r="M14" s="38">
        <f>IF(L14="-",4.8,MAX(MIN(IF(L14&gt;L$6,(L$6-L14)*0.2+4.8,(L$6-L14)*0.2+4.8),6),0))</f>
        <v>5.20551560271117</v>
      </c>
      <c r="N14" s="39">
        <v>127.95</v>
      </c>
      <c r="O14" s="38">
        <f>IF(N14="-",3.2,MAX(MIN(IF(N14&gt;N$6,(N$6-N14)*0.05+3.2,(N$6-N14)*0.05+3.2),4),0))</f>
        <v>2.0621935853379</v>
      </c>
      <c r="P14" s="39">
        <v>4.11458333333333</v>
      </c>
      <c r="Q14" s="38">
        <f>IF(P14="-",4.8,MAX(MIN(IF(P14&gt;P$6,(P$6-P14)*0.2+4.8,(P$6-P14)*0.2+4.8),6),0))</f>
        <v>6</v>
      </c>
      <c r="R14" s="39">
        <v>111.909722222222</v>
      </c>
      <c r="S14" s="38">
        <f>IF(R14="-",3.2,MAX(MIN(IF(R14&gt;R$6,(R$6-R14)*0.05+3.2,(R$6-R14)*0.05+3.2),4),0))</f>
        <v>2.1217670401494</v>
      </c>
      <c r="T14" s="63">
        <v>1.03296703296703</v>
      </c>
      <c r="U14" s="38">
        <f>IF(T14="-",8,IF(T14&lt;1,MAX(MIN(IF(T14&gt;T$6,(T14-T$6)*100*0.5+8,(T14-T$6)*100*0.2+8),10),0),10))</f>
        <v>10</v>
      </c>
      <c r="V14" s="64">
        <v>1.05714285714286</v>
      </c>
      <c r="W14" s="38">
        <f>IF(V14="-",8,IF(V14&lt;1,MAX(MIN(IF(V14&gt;V$6,(V14-V$6)*100*0.5+8,(V14-V$6)*100*0.2+8),10),0),10))</f>
        <v>10</v>
      </c>
      <c r="X14" s="63">
        <v>0.969465648854962</v>
      </c>
      <c r="Y14" s="96">
        <f>IF(X14=X$6,8,IF(X14&lt;1,MAX(MIN(IF(X14&gt;X$6,(X14-X$6)*100*0.4+8,(X14-X$6)*100*0.2+8),10),0),10))</f>
        <v>7.60516619690976</v>
      </c>
      <c r="Z14" s="97">
        <v>9.60404152204397</v>
      </c>
      <c r="AA14" s="96">
        <f>MIN(MAX(IF(Z14=0,10,IF(Z14&lt;Z$6,8+(Z$6-Z14)*2,8+(Z$6-Z14)*0.4)),0),10)</f>
        <v>10</v>
      </c>
      <c r="AB14" s="63">
        <v>0</v>
      </c>
      <c r="AC14" s="98">
        <v>0.393518518518519</v>
      </c>
      <c r="AD14" s="98">
        <v>0</v>
      </c>
      <c r="AE14" s="96">
        <f>MIN(2,IF(AB14&lt;AB$6*1.1,0,(AB14/AB$6-1.1)*10*0.4))+MIN(2,IF(AC14&lt;AC$6*1.1,0,(AC14/AC$6-1.1)*10*0.4))+MIN(2,IF(AD14&lt;AD$6*1.1,0,(AD14/AD$6-1.1)*10*0.4))</f>
        <v>0.953030084928753</v>
      </c>
    </row>
    <row r="15" ht="14.25" spans="1:31">
      <c r="A15" s="29">
        <f t="shared" si="0"/>
        <v>9</v>
      </c>
      <c r="B15" s="40" t="s">
        <v>126</v>
      </c>
      <c r="C15" s="36">
        <f>E15+G15+I15+K15+Q15+S15+M15+O15+AA15+U15+W15+Y15-AE15</f>
        <v>83.3955363433932</v>
      </c>
      <c r="D15" s="37">
        <v>13.7234195402299</v>
      </c>
      <c r="E15" s="38">
        <f>IF(D15="-",9.6,MAX(MIN(IF(D15&gt;D$6,(D$6-D15)*0.6+9.6,(D$6-D15)*0.6+9.6),12),0))</f>
        <v>4.88305994424973</v>
      </c>
      <c r="F15" s="39">
        <v>51.4953703703704</v>
      </c>
      <c r="G15" s="38">
        <f>IF(F15="-",6.4,MAX(MIN(IF(F15&gt;F$6,(F$6-F15)*0.1+6.4,(F$6-F15)*0.1+6.4),8),0))</f>
        <v>8</v>
      </c>
      <c r="H15" s="39">
        <v>23.5386904761905</v>
      </c>
      <c r="I15" s="38">
        <f>IF(H15="-",9.6,MAX(MIN(IF(H15&gt;H$6,(H$6-H15)*0.3+9.6,(H$6-H15)*0.6+9.6),12),0))</f>
        <v>6.01402930729749</v>
      </c>
      <c r="J15" s="39">
        <v>18.1458333333333</v>
      </c>
      <c r="K15" s="38">
        <f>IF(J15="-",6.4,MAX(MIN(IF(J15&gt;J$6,(J$6-J15)*0.1+6.4,(J$6-J15)*0.2+6.4),8),0))</f>
        <v>8</v>
      </c>
      <c r="L15" s="37">
        <v>5.66666666666667</v>
      </c>
      <c r="M15" s="38">
        <f>IF(L15="-",4.8,MAX(MIN(IF(L15&gt;L$6,(L$6-L15)*0.2+4.8,(L$6-L15)*0.2+4.8),6),0))</f>
        <v>4.94375089682881</v>
      </c>
      <c r="N15" s="39">
        <v>25.8333333333333</v>
      </c>
      <c r="O15" s="38">
        <f>IF(N15="-",3.2,MAX(MIN(IF(N15&gt;N$6,(N$6-N15)*0.05+3.2,(N$6-N15)*0.05+3.2),4),0))</f>
        <v>4</v>
      </c>
      <c r="P15" s="39">
        <v>1.66666666666667</v>
      </c>
      <c r="Q15" s="38">
        <f>IF(P15="-",4.8,MAX(MIN(IF(P15&gt;P$6,(P$6-P15)*0.2+4.8,(P$6-P15)*0.2+4.8),6),0))</f>
        <v>6</v>
      </c>
      <c r="R15" s="39">
        <v>11.0833333333333</v>
      </c>
      <c r="S15" s="38">
        <f>IF(R15="-",3.2,MAX(MIN(IF(R15&gt;R$6,(R$6-R15)*0.05+3.2,(R$6-R15)*0.05+3.2),4),0))</f>
        <v>4</v>
      </c>
      <c r="T15" s="63">
        <v>1.07575757575758</v>
      </c>
      <c r="U15" s="38">
        <f>IF(T15="-",8,IF(T15&lt;1,MAX(MIN(IF(T15&gt;T$6,(T15-T$6)*100*0.5+8,(T15-T$6)*100*0.2+8),10),0),10))</f>
        <v>10</v>
      </c>
      <c r="V15" s="64">
        <v>1.04166666666667</v>
      </c>
      <c r="W15" s="38">
        <f>IF(V15="-",8,IF(V15&lt;1,MAX(MIN(IF(V15&gt;V$6,(V15-V$6)*100*0.5+8,(V15-V$6)*100*0.2+8),10),0),10))</f>
        <v>10</v>
      </c>
      <c r="X15" s="63">
        <v>0.966942148760331</v>
      </c>
      <c r="Y15" s="96">
        <f>IF(X15=X$6,8,IF(X15&lt;1,MAX(MIN(IF(X15&gt;X$6,(X15-X$6)*100*0.4+8,(X15-X$6)*100*0.2+8),10),0),10))</f>
        <v>7.55469619501714</v>
      </c>
      <c r="Z15" s="97">
        <v>0</v>
      </c>
      <c r="AA15" s="96">
        <f>MIN(MAX(IF(Z15=0,10,IF(Z15&lt;Z$6,8+(Z$6-Z15)*2,8+(Z$6-Z15)*0.4)),0),10)</f>
        <v>10</v>
      </c>
      <c r="AB15" s="63">
        <v>0</v>
      </c>
      <c r="AC15" s="98">
        <v>0.0241935483870968</v>
      </c>
      <c r="AD15" s="98">
        <v>0</v>
      </c>
      <c r="AE15" s="96">
        <f>MIN(2,IF(AB15&lt;AB$6*1.1,0,(AB15/AB$6-1.1)*10*0.4))+MIN(2,IF(AC15&lt;AC$6*1.1,0,(AC15/AC$6-1.1)*10*0.4))+MIN(2,IF(AD15&lt;AD$6*1.1,0,(AD15/AD$6-1.1)*10*0.4))</f>
        <v>0</v>
      </c>
    </row>
    <row r="16" ht="14.25" spans="1:31">
      <c r="A16" s="29">
        <f t="shared" si="0"/>
        <v>10</v>
      </c>
      <c r="B16" s="35" t="s">
        <v>34</v>
      </c>
      <c r="C16" s="36">
        <f>E16+G16+I16+K16+Q16+S16+M16+O16+AA16+U16+W16+Y16-AE16</f>
        <v>83.0946285997443</v>
      </c>
      <c r="D16" s="37">
        <v>3.10556940980881</v>
      </c>
      <c r="E16" s="38">
        <f>IF(D16="-",9.6,MAX(MIN(IF(D16&gt;D$6,(D$6-D16)*0.6+9.6,(D$6-D16)*0.6+9.6),12),0))</f>
        <v>11.2537700225024</v>
      </c>
      <c r="F16" s="39">
        <v>120.590395480226</v>
      </c>
      <c r="G16" s="38">
        <f>IF(F16="-",6.4,MAX(MIN(IF(F16&gt;F$6,(F$6-F16)*0.1+6.4,(F$6-F16)*0.1+6.4),8),0))</f>
        <v>2.73042679466999</v>
      </c>
      <c r="H16" s="39">
        <v>11.3220766129032</v>
      </c>
      <c r="I16" s="38">
        <f>IF(H16="-",9.6,MAX(MIN(IF(H16&gt;H$6,(H$6-H16)*0.3+9.6,(H$6-H16)*0.6+9.6),12),0))</f>
        <v>9.75802693256736</v>
      </c>
      <c r="J16" s="39">
        <v>52.7526595744681</v>
      </c>
      <c r="K16" s="38">
        <f>IF(J16="-",6.4,MAX(MIN(IF(J16&gt;J$6,(J$6-J16)*0.1+6.4,(J$6-J16)*0.2+6.4),8),0))</f>
        <v>8</v>
      </c>
      <c r="L16" s="37">
        <v>3.74262536873156</v>
      </c>
      <c r="M16" s="38">
        <f>IF(L16="-",4.8,MAX(MIN(IF(L16&gt;L$6,(L$6-L16)*0.2+4.8,(L$6-L16)*0.2+4.8),6),0))</f>
        <v>5.32855915641583</v>
      </c>
      <c r="N16" s="39">
        <v>102.119318181818</v>
      </c>
      <c r="O16" s="38">
        <f>IF(N16="-",3.2,MAX(MIN(IF(N16&gt;N$6,(N$6-N16)*0.05+3.2,(N$6-N16)*0.05+3.2),4),0))</f>
        <v>3.353727676247</v>
      </c>
      <c r="P16" s="39">
        <v>5.10555555555556</v>
      </c>
      <c r="Q16" s="38">
        <f>IF(P16="-",4.8,MAX(MIN(IF(P16&gt;P$6,(P$6-P16)*0.2+4.8,(P$6-P16)*0.2+4.8),6),0))</f>
        <v>6</v>
      </c>
      <c r="R16" s="39">
        <v>36.125</v>
      </c>
      <c r="S16" s="38">
        <f>IF(R16="-",3.2,MAX(MIN(IF(R16&gt;R$6,(R$6-R16)*0.05+3.2,(R$6-R16)*0.05+3.2),4),0))</f>
        <v>4</v>
      </c>
      <c r="T16" s="63">
        <v>0.892171344165436</v>
      </c>
      <c r="U16" s="38">
        <f>IF(T16="-",8,IF(T16&lt;1,MAX(MIN(IF(T16&gt;T$6,(T16-T$6)*100*0.5+8,(T16-T$6)*100*0.2+8),10),0),10))</f>
        <v>7.77851674546192</v>
      </c>
      <c r="V16" s="64">
        <v>0.789473684210526</v>
      </c>
      <c r="W16" s="38">
        <f>IF(V16="-",8,IF(V16&lt;1,MAX(MIN(IF(V16&gt;V$6,(V16-V$6)*100*0.5+8,(V16-V$6)*100*0.2+8),10),0),10))</f>
        <v>7.06993892343864</v>
      </c>
      <c r="X16" s="63">
        <v>0.980290456431535</v>
      </c>
      <c r="Y16" s="96">
        <f>IF(X16=X$6,8,IF(X16&lt;1,MAX(MIN(IF(X16&gt;X$6,(X16-X$6)*100*0.4+8,(X16-X$6)*100*0.2+8),10),0),10))</f>
        <v>7.82166234844122</v>
      </c>
      <c r="Z16" s="97">
        <v>4.72013955631324</v>
      </c>
      <c r="AA16" s="96">
        <f>MIN(MAX(IF(Z16=0,10,IF(Z16&lt;Z$6,8+(Z$6-Z16)*2,8+(Z$6-Z16)*0.4)),0),10)</f>
        <v>10</v>
      </c>
      <c r="AB16" s="63">
        <v>0</v>
      </c>
      <c r="AC16" s="98">
        <v>0.264683447749809</v>
      </c>
      <c r="AD16" s="98">
        <v>0</v>
      </c>
      <c r="AE16" s="96">
        <f>MIN(2,IF(AB16&lt;AB$6*1.1,0,(AB16/AB$6-1.1)*10*0.4))+MIN(2,IF(AC16&lt;AC$6*1.1,0,(AC16/AC$6-1.1)*10*0.4))+MIN(2,IF(AD16&lt;AD$6*1.1,0,(AD16/AD$6-1.1)*10*0.4))</f>
        <v>0</v>
      </c>
    </row>
    <row r="17" ht="14.25" spans="1:31">
      <c r="A17" s="29">
        <f t="shared" si="0"/>
        <v>11</v>
      </c>
      <c r="B17" s="40" t="s">
        <v>127</v>
      </c>
      <c r="C17" s="36">
        <f>E17+G17+I17+K17+Q17+S17+M17+O17+AA17+U17+W17+Y17-AE17</f>
        <v>81.351035668482</v>
      </c>
      <c r="D17" s="37">
        <v>7.14223621103118</v>
      </c>
      <c r="E17" s="38">
        <f>IF(D17="-",9.6,MAX(MIN(IF(D17&gt;D$6,(D$6-D17)*0.6+9.6,(D$6-D17)*0.6+9.6),12),0))</f>
        <v>8.83176994176896</v>
      </c>
      <c r="F17" s="39">
        <v>85.5308333333333</v>
      </c>
      <c r="G17" s="38">
        <f>IF(F17="-",6.4,MAX(MIN(IF(F17&gt;F$6,(F$6-F17)*0.1+6.4,(F$6-F17)*0.1+6.4),8),0))</f>
        <v>6.23638300935926</v>
      </c>
      <c r="H17" s="39">
        <v>16.7173611111111</v>
      </c>
      <c r="I17" s="38">
        <f>IF(H17="-",9.6,MAX(MIN(IF(H17&gt;H$6,(H$6-H17)*0.3+9.6,(H$6-H17)*0.6+9.6),12),0))</f>
        <v>8.06042811682131</v>
      </c>
      <c r="J17" s="39">
        <v>154.227564102564</v>
      </c>
      <c r="K17" s="38">
        <f>IF(J17="-",6.4,MAX(MIN(IF(J17&gt;J$6,(J$6-J17)*0.1+6.4,(J$6-J17)*0.2+6.4),8),0))</f>
        <v>0</v>
      </c>
      <c r="L17" s="37">
        <v>1.27314814814815</v>
      </c>
      <c r="M17" s="38">
        <f>IF(L17="-",4.8,MAX(MIN(IF(L17&gt;L$6,(L$6-L17)*0.2+4.8,(L$6-L17)*0.2+4.8),6),0))</f>
        <v>5.82245460053252</v>
      </c>
      <c r="N17" s="39" t="s">
        <v>123</v>
      </c>
      <c r="O17" s="38">
        <f>IF(N17="-",3.2,MAX(MIN(IF(N17&gt;N$6,(N$6-N17)*0.05+3.2,(N$6-N17)*0.05+3.2),4),0))</f>
        <v>3.2</v>
      </c>
      <c r="P17" s="39">
        <v>4.125</v>
      </c>
      <c r="Q17" s="38">
        <f>IF(P17="-",4.8,MAX(MIN(IF(P17&gt;P$6,(P$6-P17)*0.2+4.8,(P$6-P17)*0.2+4.8),6),0))</f>
        <v>6</v>
      </c>
      <c r="R17" s="39" t="s">
        <v>123</v>
      </c>
      <c r="S17" s="38">
        <f>IF(R17="-",3.2,MAX(MIN(IF(R17&gt;R$6,(R$6-R17)*0.05+3.2,(R$6-R17)*0.05+3.2),4),0))</f>
        <v>3.2</v>
      </c>
      <c r="T17" s="63">
        <v>0.97953216374269</v>
      </c>
      <c r="U17" s="38">
        <f>IF(T17="-",8,IF(T17&lt;1,MAX(MIN(IF(T17&gt;T$6,(T17-T$6)*100*0.5+8,(T17-T$6)*100*0.2+8),10),0),10))</f>
        <v>10</v>
      </c>
      <c r="V17" s="64">
        <v>1.05555555555556</v>
      </c>
      <c r="W17" s="38">
        <f>IF(V17="-",8,IF(V17&lt;1,MAX(MIN(IF(V17&gt;V$6,(V17-V$6)*100*0.5+8,(V17-V$6)*100*0.2+8),10),0),10))</f>
        <v>10</v>
      </c>
      <c r="X17" s="63">
        <v>1.00486618004866</v>
      </c>
      <c r="Y17" s="96">
        <f>IF(X17=X$6,8,IF(X17&lt;1,MAX(MIN(IF(X17&gt;X$6,(X17-X$6)*100*0.4+8,(X17-X$6)*100*0.2+8),10),0),10))</f>
        <v>10</v>
      </c>
      <c r="Z17" s="97">
        <v>6.85362528526947</v>
      </c>
      <c r="AA17" s="96">
        <f>MIN(MAX(IF(Z17=0,10,IF(Z17&lt;Z$6,8+(Z$6-Z17)*2,8+(Z$6-Z17)*0.4)),0),10)</f>
        <v>10</v>
      </c>
      <c r="AB17" s="63">
        <v>0</v>
      </c>
      <c r="AC17" s="98">
        <v>0.174698795180723</v>
      </c>
      <c r="AD17" s="98">
        <v>0.0024330900243309</v>
      </c>
      <c r="AE17" s="96">
        <f>MIN(2,IF(AB17&lt;AB$6*1.1,0,(AB17/AB$6-1.1)*10*0.4))+MIN(2,IF(AC17&lt;AC$6*1.1,0,(AC17/AC$6-1.1)*10*0.4))+MIN(2,IF(AD17&lt;AD$6*1.1,0,(AD17/AD$6-1.1)*10*0.4))</f>
        <v>0</v>
      </c>
    </row>
    <row r="18" ht="14.25" spans="1:31">
      <c r="A18" s="29">
        <f t="shared" si="0"/>
        <v>12</v>
      </c>
      <c r="B18" s="40" t="s">
        <v>128</v>
      </c>
      <c r="C18" s="36">
        <f>E18+G18+I18+K18+Q18+S18+M18+O18+AA18+U18+W18+Y18-AE18</f>
        <v>77.7150149045878</v>
      </c>
      <c r="D18" s="37">
        <v>5.00337186897881</v>
      </c>
      <c r="E18" s="38">
        <f>IF(D18="-",9.6,MAX(MIN(IF(D18&gt;D$6,(D$6-D18)*0.6+9.6,(D$6-D18)*0.6+9.6),12),0))</f>
        <v>10.1150885470004</v>
      </c>
      <c r="F18" s="39">
        <v>98.8368794326241</v>
      </c>
      <c r="G18" s="38">
        <f>IF(F18="-",6.4,MAX(MIN(IF(F18&gt;F$6,(F$6-F18)*0.1+6.4,(F$6-F18)*0.1+6.4),8),0))</f>
        <v>4.90577839943018</v>
      </c>
      <c r="H18" s="39">
        <v>15.0219038208169</v>
      </c>
      <c r="I18" s="38">
        <f>IF(H18="-",9.6,MAX(MIN(IF(H18&gt;H$6,(H$6-H18)*0.3+9.6,(H$6-H18)*0.6+9.6),12),0))</f>
        <v>8.56906530390957</v>
      </c>
      <c r="J18" s="39">
        <v>110.973214285714</v>
      </c>
      <c r="K18" s="38">
        <f>IF(J18="-",6.4,MAX(MIN(IF(J18&gt;J$6,(J$6-J18)*0.1+6.4,(J$6-J18)*0.2+6.4),8),0))</f>
        <v>3.26251428262618</v>
      </c>
      <c r="L18" s="37">
        <v>11.4982040229885</v>
      </c>
      <c r="M18" s="38">
        <f>IF(L18="-",4.8,MAX(MIN(IF(L18&gt;L$6,(L$6-L18)*0.2+4.8,(L$6-L18)*0.2+4.8),6),0))</f>
        <v>3.77744342556445</v>
      </c>
      <c r="N18" s="39">
        <v>87.3458333333334</v>
      </c>
      <c r="O18" s="38">
        <f>IF(N18="-",3.2,MAX(MIN(IF(N18&gt;N$6,(N$6-N18)*0.05+3.2,(N$6-N18)*0.05+3.2),4),0))</f>
        <v>4</v>
      </c>
      <c r="P18" s="39">
        <v>22.3093220338983</v>
      </c>
      <c r="Q18" s="38">
        <f>IF(P18="-",4.8,MAX(MIN(IF(P18&gt;P$6,(P$6-P18)*0.2+4.8,(P$6-P18)*0.2+4.8),6),0))</f>
        <v>3.4983389713658</v>
      </c>
      <c r="R18" s="39">
        <v>70.8895833333333</v>
      </c>
      <c r="S18" s="38">
        <f>IF(R18="-",3.2,MAX(MIN(IF(R18&gt;R$6,(R$6-R18)*0.05+3.2,(R$6-R18)*0.05+3.2),4),0))</f>
        <v>4</v>
      </c>
      <c r="T18" s="63">
        <v>0.946140035906643</v>
      </c>
      <c r="U18" s="38">
        <f>IF(T18="-",8,IF(T18&lt;1,MAX(MIN(IF(T18&gt;T$6,(T18-T$6)*100*0.5+8,(T18-T$6)*100*0.2+8),10),0),10))</f>
        <v>10</v>
      </c>
      <c r="V18" s="64">
        <v>0.965770171149144</v>
      </c>
      <c r="W18" s="38">
        <f>IF(V18="-",8,IF(V18&lt;1,MAX(MIN(IF(V18&gt;V$6,(V18-V$6)*100*0.5+8,(V18-V$6)*100*0.2+8),10),0),10))</f>
        <v>10</v>
      </c>
      <c r="X18" s="63">
        <v>0.968546637744035</v>
      </c>
      <c r="Y18" s="96">
        <f>IF(X18=X$6,8,IF(X18&lt;1,MAX(MIN(IF(X18&gt;X$6,(X18-X$6)*100*0.4+8,(X18-X$6)*100*0.2+8),10),0),10))</f>
        <v>7.58678597469122</v>
      </c>
      <c r="Z18" s="97">
        <v>6.49518159240387</v>
      </c>
      <c r="AA18" s="96">
        <f>MIN(MAX(IF(Z18=0,10,IF(Z18&lt;Z$6,8+(Z$6-Z18)*2,8+(Z$6-Z18)*0.4)),0),10)</f>
        <v>10</v>
      </c>
      <c r="AB18" s="63">
        <v>0.00324675324675328</v>
      </c>
      <c r="AC18" s="98">
        <v>0.221283783783784</v>
      </c>
      <c r="AD18" s="98">
        <v>0.0086767895878525</v>
      </c>
      <c r="AE18" s="96">
        <f>MIN(2,IF(AB18&lt;AB$6*1.1,0,(AB18/AB$6-1.1)*10*0.4))+MIN(2,IF(AC18&lt;AC$6*1.1,0,(AC18/AC$6-1.1)*10*0.4))+MIN(2,IF(AD18&lt;AD$6*1.1,0,(AD18/AD$6-1.1)*10*0.4))</f>
        <v>2</v>
      </c>
    </row>
    <row r="19" ht="14.25" spans="1:31">
      <c r="A19" s="29">
        <f t="shared" si="0"/>
        <v>13</v>
      </c>
      <c r="B19" s="40" t="s">
        <v>129</v>
      </c>
      <c r="C19" s="36">
        <f>E19+G19+I19+K19+Q19+S19+M19+O19+AA19+U19+W19+Y19-AE19</f>
        <v>77.7123081050746</v>
      </c>
      <c r="D19" s="37">
        <v>6.65988372093023</v>
      </c>
      <c r="E19" s="38">
        <f>IF(D19="-",9.6,MAX(MIN(IF(D19&gt;D$6,(D$6-D19)*0.6+9.6,(D$6-D19)*0.6+9.6),12),0))</f>
        <v>9.12118143582953</v>
      </c>
      <c r="F19" s="39">
        <v>15.5555555555556</v>
      </c>
      <c r="G19" s="38">
        <f>IF(F19="-",6.4,MAX(MIN(IF(F19&gt;F$6,(F$6-F19)*0.1+6.4,(F$6-F19)*0.1+6.4),8),0))</f>
        <v>8</v>
      </c>
      <c r="H19" s="39">
        <v>5.39375</v>
      </c>
      <c r="I19" s="38">
        <f>IF(H19="-",9.6,MAX(MIN(IF(H19&gt;H$6,(H$6-H19)*0.3+9.6,(H$6-H19)*0.6+9.6),12),0))</f>
        <v>12</v>
      </c>
      <c r="J19" s="39">
        <v>32.25</v>
      </c>
      <c r="K19" s="38">
        <f>IF(J19="-",6.4,MAX(MIN(IF(J19&gt;J$6,(J$6-J19)*0.1+6.4,(J$6-J19)*0.2+6.4),8),0))</f>
        <v>8</v>
      </c>
      <c r="L19" s="37">
        <v>2.35833333333333</v>
      </c>
      <c r="M19" s="38">
        <f>IF(L19="-",4.8,MAX(MIN(IF(L19&gt;L$6,(L$6-L19)*0.2+4.8,(L$6-L19)*0.2+4.8),6),0))</f>
        <v>5.60541756349548</v>
      </c>
      <c r="N19" s="39">
        <v>79.6388888888889</v>
      </c>
      <c r="O19" s="38">
        <f>IF(N19="-",3.2,MAX(MIN(IF(N19&gt;N$6,(N$6-N19)*0.05+3.2,(N$6-N19)*0.05+3.2),4),0))</f>
        <v>4</v>
      </c>
      <c r="P19" s="39">
        <v>21.3809523809524</v>
      </c>
      <c r="Q19" s="38">
        <f>IF(P19="-",4.8,MAX(MIN(IF(P19&gt;P$6,(P$6-P19)*0.2+4.8,(P$6-P19)*0.2+4.8),6),0))</f>
        <v>3.68401290195498</v>
      </c>
      <c r="R19" s="39" t="s">
        <v>123</v>
      </c>
      <c r="S19" s="38">
        <f>IF(R19="-",3.2,MAX(MIN(IF(R19&gt;R$6,(R$6-R19)*0.05+3.2,(R$6-R19)*0.05+3.2),4),0))</f>
        <v>3.2</v>
      </c>
      <c r="T19" s="63">
        <v>0.808988764044944</v>
      </c>
      <c r="U19" s="38">
        <f>IF(T19="-",8,IF(T19&lt;1,MAX(MIN(IF(T19&gt;T$6,(T19-T$6)*100*0.5+8,(T19-T$6)*100*0.2+8),10),0),10))</f>
        <v>6.11486514305208</v>
      </c>
      <c r="V19" s="64">
        <v>0.711538461538462</v>
      </c>
      <c r="W19" s="38">
        <f>IF(V19="-",8,IF(V19&lt;1,MAX(MIN(IF(V19&gt;V$6,(V19-V$6)*100*0.5+8,(V19-V$6)*100*0.2+8),10),0),10))</f>
        <v>5.51123446999736</v>
      </c>
      <c r="X19" s="63">
        <v>0.963302752293578</v>
      </c>
      <c r="Y19" s="96">
        <f>IF(X19=X$6,8,IF(X19&lt;1,MAX(MIN(IF(X19&gt;X$6,(X19-X$6)*100*0.4+8,(X19-X$6)*100*0.2+8),10),0),10))</f>
        <v>7.48190826568208</v>
      </c>
      <c r="Z19" s="97">
        <v>13.351326132284</v>
      </c>
      <c r="AA19" s="96">
        <f>MIN(MAX(IF(Z19=0,10,IF(Z19&lt;Z$6,8+(Z$6-Z19)*2,8+(Z$6-Z19)*0.4)),0),10)</f>
        <v>6.99368832506312</v>
      </c>
      <c r="AB19" s="63">
        <v>0.0958083832335329</v>
      </c>
      <c r="AC19" s="98">
        <v>0.0840336134453782</v>
      </c>
      <c r="AD19" s="98">
        <v>0</v>
      </c>
      <c r="AE19" s="96">
        <f>MIN(2,IF(AB19&lt;AB$6*1.1,0,(AB19/AB$6-1.1)*10*0.4))+MIN(2,IF(AC19&lt;AC$6*1.1,0,(AC19/AC$6-1.1)*10*0.4))+MIN(2,IF(AD19&lt;AD$6*1.1,0,(AD19/AD$6-1.1)*10*0.4))</f>
        <v>2</v>
      </c>
    </row>
    <row r="20" ht="14.25" spans="1:31">
      <c r="A20" s="29">
        <f t="shared" si="0"/>
        <v>14</v>
      </c>
      <c r="B20" s="40" t="s">
        <v>130</v>
      </c>
      <c r="C20" s="36">
        <f>E20+G20+I20+K20+Q20+S20+M20+O20+AA20+U20+W20+Y20-AE20</f>
        <v>77.6743189650334</v>
      </c>
      <c r="D20" s="37">
        <v>7.81873673036094</v>
      </c>
      <c r="E20" s="38">
        <f>IF(D20="-",9.6,MAX(MIN(IF(D20&gt;D$6,(D$6-D20)*0.6+9.6,(D$6-D20)*0.6+9.6),12),0))</f>
        <v>8.4258696301711</v>
      </c>
      <c r="F20" s="39">
        <v>79.8880952380952</v>
      </c>
      <c r="G20" s="38">
        <f>IF(F20="-",6.4,MAX(MIN(IF(F20&gt;F$6,(F$6-F20)*0.1+6.4,(F$6-F20)*0.1+6.4),8),0))</f>
        <v>6.80065681888307</v>
      </c>
      <c r="H20" s="39">
        <v>10.7806256572029</v>
      </c>
      <c r="I20" s="38">
        <f>IF(H20="-",9.6,MAX(MIN(IF(H20&gt;H$6,(H$6-H20)*0.3+9.6,(H$6-H20)*0.6+9.6),12),0))</f>
        <v>10.0828975059875</v>
      </c>
      <c r="J20" s="39">
        <v>70</v>
      </c>
      <c r="K20" s="38">
        <f>IF(J20="-",6.4,MAX(MIN(IF(J20&gt;J$6,(J$6-J20)*0.1+6.4,(J$6-J20)*0.2+6.4),8),0))</f>
        <v>8</v>
      </c>
      <c r="L20" s="37">
        <v>8.77576891105569</v>
      </c>
      <c r="M20" s="38">
        <f>IF(L20="-",4.8,MAX(MIN(IF(L20&gt;L$6,(L$6-L20)*0.2+4.8,(L$6-L20)*0.2+4.8),6),0))</f>
        <v>4.32193044795101</v>
      </c>
      <c r="N20" s="39">
        <v>129.740990990991</v>
      </c>
      <c r="O20" s="38">
        <f>IF(N20="-",3.2,MAX(MIN(IF(N20&gt;N$6,(N$6-N20)*0.05+3.2,(N$6-N20)*0.05+3.2),4),0))</f>
        <v>1.97264403578835</v>
      </c>
      <c r="P20" s="39">
        <v>15.9081879844961</v>
      </c>
      <c r="Q20" s="38">
        <f>IF(P20="-",4.8,MAX(MIN(IF(P20&gt;P$6,(P$6-P20)*0.2+4.8,(P$6-P20)*0.2+4.8),6),0))</f>
        <v>4.77856578124624</v>
      </c>
      <c r="R20" s="39">
        <v>80.3558558558559</v>
      </c>
      <c r="S20" s="38">
        <f>IF(R20="-",3.2,MAX(MIN(IF(R20&gt;R$6,(R$6-R20)*0.05+3.2,(R$6-R20)*0.05+3.2),4),0))</f>
        <v>3.69946035846771</v>
      </c>
      <c r="T20" s="63">
        <v>0.894538606403013</v>
      </c>
      <c r="U20" s="38">
        <f>IF(T20="-",8,IF(T20&lt;1,MAX(MIN(IF(T20&gt;T$6,(T20-T$6)*100*0.5+8,(T20-T$6)*100*0.2+8),10),0),10))</f>
        <v>7.82586199021346</v>
      </c>
      <c r="V20" s="64">
        <v>0.838125</v>
      </c>
      <c r="W20" s="38">
        <f>IF(V20="-",8,IF(V20&lt;1,MAX(MIN(IF(V20&gt;V$6,(V20-V$6)*100*0.5+8,(V20-V$6)*100*0.2+8),10),0),10))</f>
        <v>8.1074130980703</v>
      </c>
      <c r="X20" s="63">
        <v>0.983647022523912</v>
      </c>
      <c r="Y20" s="96">
        <f>IF(X20=X$6,8,IF(X20&lt;1,MAX(MIN(IF(X20&gt;X$6,(X20-X$6)*100*0.4+8,(X20-X$6)*100*0.2+8),10),0),10))</f>
        <v>7.88879367028876</v>
      </c>
      <c r="Z20" s="97">
        <v>13.687469247546</v>
      </c>
      <c r="AA20" s="96">
        <f>MIN(MAX(IF(Z20=0,10,IF(Z20&lt;Z$6,8+(Z$6-Z20)*2,8+(Z$6-Z20)*0.4)),0),10)</f>
        <v>6.85923107895833</v>
      </c>
      <c r="AB20" s="63">
        <v>0.00120967741935485</v>
      </c>
      <c r="AC20" s="98">
        <v>0.275106240214717</v>
      </c>
      <c r="AD20" s="98">
        <v>0.00493674791730947</v>
      </c>
      <c r="AE20" s="96">
        <f>MIN(2,IF(AB20&lt;AB$6*1.1,0,(AB20/AB$6-1.1)*10*0.4))+MIN(2,IF(AC20&lt;AC$6*1.1,0,(AC20/AC$6-1.1)*10*0.4))+MIN(2,IF(AD20&lt;AD$6*1.1,0,(AD20/AD$6-1.1)*10*0.4))</f>
        <v>1.0890054509925</v>
      </c>
    </row>
    <row r="21" ht="14.25" spans="1:31">
      <c r="A21" s="29">
        <f t="shared" si="0"/>
        <v>15</v>
      </c>
      <c r="B21" s="40" t="s">
        <v>131</v>
      </c>
      <c r="C21" s="36">
        <f>E21+G21+I21+K21+Q21+S21+M21+O21+AA21+U21+W21+Y21-AE21</f>
        <v>76.7975479585949</v>
      </c>
      <c r="D21" s="37">
        <v>4.49873737373737</v>
      </c>
      <c r="E21" s="38">
        <f>IF(D21="-",9.6,MAX(MIN(IF(D21&gt;D$6,(D$6-D21)*0.6+9.6,(D$6-D21)*0.6+9.6),12),0))</f>
        <v>10.4178692441452</v>
      </c>
      <c r="F21" s="39">
        <v>114.662037037037</v>
      </c>
      <c r="G21" s="38">
        <f>IF(F21="-",6.4,MAX(MIN(IF(F21&gt;F$6,(F$6-F21)*0.1+6.4,(F$6-F21)*0.1+6.4),8),0))</f>
        <v>3.32326263898889</v>
      </c>
      <c r="H21" s="39">
        <v>7.19230769230769</v>
      </c>
      <c r="I21" s="38">
        <f>IF(H21="-",9.6,MAX(MIN(IF(H21&gt;H$6,(H$6-H21)*0.3+9.6,(H$6-H21)*0.6+9.6),12),0))</f>
        <v>12</v>
      </c>
      <c r="J21" s="39">
        <v>372.375</v>
      </c>
      <c r="K21" s="38">
        <f>IF(J21="-",6.4,MAX(MIN(IF(J21&gt;J$6,(J$6-J21)*0.1+6.4,(J$6-J21)*0.2+6.4),8),0))</f>
        <v>0</v>
      </c>
      <c r="L21" s="37">
        <v>4.26547619047619</v>
      </c>
      <c r="M21" s="38">
        <f>IF(L21="-",4.8,MAX(MIN(IF(L21&gt;L$6,(L$6-L21)*0.2+4.8,(L$6-L21)*0.2+4.8),6),0))</f>
        <v>5.22398899206691</v>
      </c>
      <c r="N21" s="39">
        <v>6.33333333333333</v>
      </c>
      <c r="O21" s="38">
        <f>IF(N21="-",3.2,MAX(MIN(IF(N21&gt;N$6,(N$6-N21)*0.05+3.2,(N$6-N21)*0.05+3.2),4),0))</f>
        <v>4</v>
      </c>
      <c r="P21" s="39">
        <v>8.3125</v>
      </c>
      <c r="Q21" s="38">
        <f>IF(P21="-",4.8,MAX(MIN(IF(P21&gt;P$6,(P$6-P21)*0.2+4.8,(P$6-P21)*0.2+4.8),6),0))</f>
        <v>6</v>
      </c>
      <c r="R21" s="39">
        <v>9.08333333333333</v>
      </c>
      <c r="S21" s="38">
        <f>IF(R21="-",3.2,MAX(MIN(IF(R21&gt;R$6,(R$6-R21)*0.05+3.2,(R$6-R21)*0.05+3.2),4),0))</f>
        <v>4</v>
      </c>
      <c r="T21" s="65">
        <v>0.941176470588235</v>
      </c>
      <c r="U21" s="38">
        <f>IF(T21="-",8,IF(T21&lt;1,MAX(MIN(IF(T21&gt;T$6,(T21-T$6)*100*0.5+8,(T21-T$6)*100*0.2+8),10),0),10))</f>
        <v>9.89654818479475</v>
      </c>
      <c r="V21" s="66">
        <v>0.641025641025641</v>
      </c>
      <c r="W21" s="38">
        <f>IF(V21="-",8,IF(V21&lt;1,MAX(MIN(IF(V21&gt;V$6,(V21-V$6)*100*0.5+8,(V21-V$6)*100*0.2+8),10),0),10))</f>
        <v>4.10097805974094</v>
      </c>
      <c r="X21" s="63">
        <v>0.980952380952381</v>
      </c>
      <c r="Y21" s="96">
        <f>IF(X21=X$6,8,IF(X21&lt;1,MAX(MIN(IF(X21&gt;X$6,(X21-X$6)*100*0.4+8,(X21-X$6)*100*0.2+8),10),0),10))</f>
        <v>7.83490083885814</v>
      </c>
      <c r="Z21" s="97">
        <v>0</v>
      </c>
      <c r="AA21" s="99">
        <f>MIN(MAX(IF(Z21=0,10,IF(Z21&lt;Z$6,8+(Z$6-Z21)*2,8+(Z$6-Z21)*0.4)),0),10)</f>
        <v>10</v>
      </c>
      <c r="AB21" s="63">
        <v>0</v>
      </c>
      <c r="AC21" s="98">
        <v>0.173228346456693</v>
      </c>
      <c r="AD21" s="98">
        <v>0</v>
      </c>
      <c r="AE21" s="96">
        <f>MIN(2,IF(AB21&lt;AB$6*1.1,0,(AB21/AB$6-1.1)*10*0.4))+MIN(2,IF(AC21&lt;AC$6*1.1,0,(AC21/AC$6-1.1)*10*0.4))+MIN(2,IF(AD21&lt;AD$6*1.1,0,(AD21/AD$6-1.1)*10*0.4))</f>
        <v>0</v>
      </c>
    </row>
    <row r="22" ht="14.25" spans="1:31">
      <c r="A22" s="29">
        <f t="shared" si="0"/>
        <v>16</v>
      </c>
      <c r="B22" s="35" t="s">
        <v>132</v>
      </c>
      <c r="C22" s="36">
        <f>E22+G22+I22+K22+Q22+S22+M22+O22+AA22+U22+W22+Y22-AE22</f>
        <v>73.2729179216458</v>
      </c>
      <c r="D22" s="37">
        <v>3.54550827423168</v>
      </c>
      <c r="E22" s="38">
        <f>IF(D22="-",9.6,MAX(MIN(IF(D22&gt;D$6,(D$6-D22)*0.6+9.6,(D$6-D22)*0.6+9.6),12),0))</f>
        <v>10.9898067038487</v>
      </c>
      <c r="F22" s="39">
        <v>115.494047619048</v>
      </c>
      <c r="G22" s="38">
        <f>IF(F22="-",6.4,MAX(MIN(IF(F22&gt;F$6,(F$6-F22)*0.1+6.4,(F$6-F22)*0.1+6.4),8),0))</f>
        <v>3.24006158078779</v>
      </c>
      <c r="H22" s="39">
        <v>12.8324829931973</v>
      </c>
      <c r="I22" s="38">
        <f>IF(H22="-",9.6,MAX(MIN(IF(H22&gt;H$6,(H$6-H22)*0.3+9.6,(H$6-H22)*0.6+9.6),12),0))</f>
        <v>9.22589155219545</v>
      </c>
      <c r="J22" s="39">
        <v>141.953431372549</v>
      </c>
      <c r="K22" s="38">
        <f>IF(J22="-",6.4,MAX(MIN(IF(J22&gt;J$6,(J$6-J22)*0.1+6.4,(J$6-J22)*0.2+6.4),8),0))</f>
        <v>0.164492573942679</v>
      </c>
      <c r="L22" s="37">
        <v>7.3452380952381</v>
      </c>
      <c r="M22" s="38">
        <f>IF(L22="-",4.8,MAX(MIN(IF(L22&gt;L$6,(L$6-L22)*0.2+4.8,(L$6-L22)*0.2+4.8),6),0))</f>
        <v>4.60803661111453</v>
      </c>
      <c r="N22" s="39">
        <v>9.83333333333333</v>
      </c>
      <c r="O22" s="38">
        <f>IF(N22="-",3.2,MAX(MIN(IF(N22&gt;N$6,(N$6-N22)*0.05+3.2,(N$6-N22)*0.05+3.2),4),0))</f>
        <v>4</v>
      </c>
      <c r="P22" s="39">
        <v>8.63690476190476</v>
      </c>
      <c r="Q22" s="38">
        <f>IF(P22="-",4.8,MAX(MIN(IF(P22&gt;P$6,(P$6-P22)*0.2+4.8,(P$6-P22)*0.2+4.8),6),0))</f>
        <v>6</v>
      </c>
      <c r="R22" s="39" t="s">
        <v>123</v>
      </c>
      <c r="S22" s="38">
        <f>IF(R22="-",3.2,MAX(MIN(IF(R22&gt;R$6,(R$6-R22)*0.05+3.2,(R$6-R22)*0.05+3.2),4),0))</f>
        <v>3.2</v>
      </c>
      <c r="T22" s="65">
        <v>0.918918918918919</v>
      </c>
      <c r="U22" s="38">
        <f>IF(T22="-",8,IF(T22&lt;1,MAX(MIN(IF(T22&gt;T$6,(T22-T$6)*100*0.5+8,(T22-T$6)*100*0.2+8),10),0),10))</f>
        <v>8.78367060132895</v>
      </c>
      <c r="V22" s="66">
        <v>0.824175824175824</v>
      </c>
      <c r="W22" s="38">
        <f>IF(V22="-",8,IF(V22&lt;1,MAX(MIN(IF(V22&gt;V$6,(V22-V$6)*100*0.5+8,(V22-V$6)*100*0.2+8),10),0),10))</f>
        <v>7.7639817227446</v>
      </c>
      <c r="X22" s="63">
        <v>0.991836734693878</v>
      </c>
      <c r="Y22" s="96">
        <f>IF(X22=X$6,8,IF(X22&lt;1,MAX(MIN(IF(X22&gt;X$6,(X22-X$6)*100*0.4+8,(X22-X$6)*100*0.2+8),10),0),10))</f>
        <v>8.10517582737616</v>
      </c>
      <c r="Z22" s="97">
        <v>0</v>
      </c>
      <c r="AA22" s="99">
        <f>MIN(MAX(IF(Z22=0,10,IF(Z22&lt;Z$6,8+(Z$6-Z22)*2,8+(Z$6-Z22)*0.4)),0),10)</f>
        <v>10</v>
      </c>
      <c r="AB22" s="63">
        <v>0.106471816283925</v>
      </c>
      <c r="AC22" s="98">
        <v>0.382871536523929</v>
      </c>
      <c r="AD22" s="98">
        <v>0</v>
      </c>
      <c r="AE22" s="96">
        <f>MIN(2,IF(AB22&lt;AB$6*1.1,0,(AB22/AB$6-1.1)*10*0.4))+MIN(2,IF(AC22&lt;AC$6*1.1,0,(AC22/AC$6-1.1)*10*0.4))+MIN(2,IF(AD22&lt;AD$6*1.1,0,(AD22/AD$6-1.1)*10*0.4))</f>
        <v>2.808199251693</v>
      </c>
    </row>
    <row r="23" ht="14.25" spans="1:31">
      <c r="A23" s="29">
        <f t="shared" si="0"/>
        <v>17</v>
      </c>
      <c r="B23" s="40" t="s">
        <v>133</v>
      </c>
      <c r="C23" s="36">
        <f>E23+G23+I23+K23+Q23+S23+M23+O23+AA23+U23+W23+Y23-AE23</f>
        <v>72.0890894658172</v>
      </c>
      <c r="D23" s="37">
        <v>18.5089285714286</v>
      </c>
      <c r="E23" s="38">
        <f>IF(D23="-",9.6,MAX(MIN(IF(D23&gt;D$6,(D$6-D23)*0.6+9.6,(D$6-D23)*0.6+9.6),12),0))</f>
        <v>2.01175452553051</v>
      </c>
      <c r="F23" s="39">
        <v>27.5625</v>
      </c>
      <c r="G23" s="38">
        <f>IF(F23="-",6.4,MAX(MIN(IF(F23&gt;F$6,(F$6-F23)*0.1+6.4,(F$6-F23)*0.1+6.4),8),0))</f>
        <v>8</v>
      </c>
      <c r="H23" s="39">
        <v>18.9328703703704</v>
      </c>
      <c r="I23" s="38">
        <f>IF(H23="-",9.6,MAX(MIN(IF(H23&gt;H$6,(H$6-H23)*0.3+9.6,(H$6-H23)*0.6+9.6),12),0))</f>
        <v>7.39577533904352</v>
      </c>
      <c r="J23" s="39">
        <v>60.875</v>
      </c>
      <c r="K23" s="38">
        <f>IF(J23="-",6.4,MAX(MIN(IF(J23&gt;J$6,(J$6-J23)*0.1+6.4,(J$6-J23)*0.2+6.4),8),0))</f>
        <v>8</v>
      </c>
      <c r="L23" s="37">
        <v>6.52083333333333</v>
      </c>
      <c r="M23" s="38">
        <f>IF(L23="-",4.8,MAX(MIN(IF(L23&gt;L$6,(L$6-L23)*0.2+4.8,(L$6-L23)*0.2+4.8),6),0))</f>
        <v>4.77291756349548</v>
      </c>
      <c r="N23" s="39" t="s">
        <v>123</v>
      </c>
      <c r="O23" s="38">
        <f>IF(N23="-",3.2,MAX(MIN(IF(N23&gt;N$6,(N$6-N23)*0.05+3.2,(N$6-N23)*0.05+3.2),4),0))</f>
        <v>3.2</v>
      </c>
      <c r="P23" s="39">
        <v>12.8333333333333</v>
      </c>
      <c r="Q23" s="38">
        <f>IF(P23="-",4.8,MAX(MIN(IF(P23&gt;P$6,(P$6-P23)*0.2+4.8,(P$6-P23)*0.2+4.8),6),0))</f>
        <v>5.3935367114788</v>
      </c>
      <c r="R23" s="39" t="s">
        <v>123</v>
      </c>
      <c r="S23" s="38">
        <f>IF(R23="-",3.2,MAX(MIN(IF(R23&gt;R$6,(R$6-R23)*0.05+3.2,(R$6-R23)*0.05+3.2),4),0))</f>
        <v>3.2</v>
      </c>
      <c r="T23" s="65">
        <v>0.717391304347826</v>
      </c>
      <c r="U23" s="38">
        <f>IF(T23="-",8,IF(T23&lt;1,MAX(MIN(IF(T23&gt;T$6,(T23-T$6)*100*0.5+8,(T23-T$6)*100*0.2+8),10),0),10))</f>
        <v>4.28291594910972</v>
      </c>
      <c r="V23" s="66">
        <v>0.827586206896552</v>
      </c>
      <c r="W23" s="38">
        <f>IF(V23="-",8,IF(V23&lt;1,MAX(MIN(IF(V23&gt;V$6,(V23-V$6)*100*0.5+8,(V23-V$6)*100*0.2+8),10),0),10))</f>
        <v>7.83218937715916</v>
      </c>
      <c r="X23" s="63">
        <v>1.03508771929825</v>
      </c>
      <c r="Y23" s="96">
        <f>IF(X23=X$6,8,IF(X23&lt;1,MAX(MIN(IF(X23&gt;X$6,(X23-X$6)*100*0.4+8,(X23-X$6)*100*0.2+8),10),0),10))</f>
        <v>10</v>
      </c>
      <c r="Z23" s="97">
        <v>0</v>
      </c>
      <c r="AA23" s="96">
        <f>MIN(MAX(IF(Z23=0,10,IF(Z23&lt;Z$6,8+(Z$6-Z23)*2,8+(Z$6-Z23)*0.4)),0),10)</f>
        <v>10</v>
      </c>
      <c r="AB23" s="63">
        <v>0.0674157303370787</v>
      </c>
      <c r="AC23" s="98">
        <v>0.123076923076923</v>
      </c>
      <c r="AD23" s="98">
        <v>0</v>
      </c>
      <c r="AE23" s="96">
        <f>MIN(2,IF(AB23&lt;AB$6*1.1,0,(AB23/AB$6-1.1)*10*0.4))+MIN(2,IF(AC23&lt;AC$6*1.1,0,(AC23/AC$6-1.1)*10*0.4))+MIN(2,IF(AD23&lt;AD$6*1.1,0,(AD23/AD$6-1.1)*10*0.4))</f>
        <v>2</v>
      </c>
    </row>
    <row r="24" ht="14.25" spans="1:31">
      <c r="A24" s="29">
        <f t="shared" si="0"/>
        <v>18</v>
      </c>
      <c r="B24" s="40" t="s">
        <v>134</v>
      </c>
      <c r="C24" s="36">
        <f>E24+G24+I24+K24+Q24+S24+M24+O24+AA24+U24+W24+Y24-AE24</f>
        <v>70.1364680628563</v>
      </c>
      <c r="D24" s="37">
        <v>5.50909090909091</v>
      </c>
      <c r="E24" s="38">
        <f>IF(D24="-",9.6,MAX(MIN(IF(D24&gt;D$6,(D$6-D24)*0.6+9.6,(D$6-D24)*0.6+9.6),12),0))</f>
        <v>9.81165712293312</v>
      </c>
      <c r="F24" s="39">
        <v>111.841666666667</v>
      </c>
      <c r="G24" s="38">
        <f>IF(F24="-",6.4,MAX(MIN(IF(F24&gt;F$6,(F$6-F24)*0.1+6.4,(F$6-F24)*0.1+6.4),8),0))</f>
        <v>3.60529967602589</v>
      </c>
      <c r="H24" s="39">
        <v>10.4895833333333</v>
      </c>
      <c r="I24" s="38">
        <f>IF(H24="-",9.6,MAX(MIN(IF(H24&gt;H$6,(H$6-H24)*0.3+9.6,(H$6-H24)*0.6+9.6),12),0))</f>
        <v>10.2575229003093</v>
      </c>
      <c r="J24" s="39" t="s">
        <v>123</v>
      </c>
      <c r="K24" s="38">
        <f>IF(J24="-",6.4,MAX(MIN(IF(J24&gt;J$6,(J$6-J24)*0.1+6.4,(J$6-J24)*0.2+6.4),8),0))</f>
        <v>6.4</v>
      </c>
      <c r="L24" s="37">
        <v>4.79166666666667</v>
      </c>
      <c r="M24" s="38">
        <f>IF(L24="-",4.8,MAX(MIN(IF(L24&gt;L$6,(L$6-L24)*0.2+4.8,(L$6-L24)*0.2+4.8),6),0))</f>
        <v>5.11875089682881</v>
      </c>
      <c r="N24" s="39" t="s">
        <v>123</v>
      </c>
      <c r="O24" s="38">
        <f>IF(N24="-",3.2,MAX(MIN(IF(N24&gt;N$6,(N$6-N24)*0.05+3.2,(N$6-N24)*0.05+3.2),4),0))</f>
        <v>3.2</v>
      </c>
      <c r="P24" s="39" t="s">
        <v>123</v>
      </c>
      <c r="Q24" s="38">
        <f>IF(P24="-",4.8,MAX(MIN(IF(P24&gt;P$6,(P$6-P24)*0.2+4.8,(P$6-P24)*0.2+4.8),6),0))</f>
        <v>4.8</v>
      </c>
      <c r="R24" s="39" t="s">
        <v>123</v>
      </c>
      <c r="S24" s="38">
        <f>IF(R24="-",3.2,MAX(MIN(IF(R24&gt;R$6,(R$6-R24)*0.05+3.2,(R$6-R24)*0.05+3.2),4),0))</f>
        <v>3.2</v>
      </c>
      <c r="T24" s="65">
        <v>0.9125</v>
      </c>
      <c r="U24" s="38">
        <f>IF(T24="-",8,IF(T24&lt;1,MAX(MIN(IF(T24&gt;T$6,(T24-T$6)*100*0.5+8,(T24-T$6)*100*0.2+8),10),0),10))</f>
        <v>8.462724655383</v>
      </c>
      <c r="V24" s="66">
        <v>0.347826086956522</v>
      </c>
      <c r="W24" s="38">
        <f>IF(V24="-",8,IF(V24&lt;1,MAX(MIN(IF(V24&gt;V$6,(V24-V$6)*100*0.5+8,(V24-V$6)*100*0.2+8),10),0),10))</f>
        <v>0</v>
      </c>
      <c r="X24" s="63">
        <v>1.01234567901235</v>
      </c>
      <c r="Y24" s="96">
        <f>IF(X24=X$6,8,IF(X24&lt;1,MAX(MIN(IF(X24&gt;X$6,(X24-X$6)*100*0.4+8,(X24-X$6)*100*0.2+8),10),0),10))</f>
        <v>10</v>
      </c>
      <c r="Z24" s="97">
        <v>17.5818322117367</v>
      </c>
      <c r="AA24" s="96">
        <f>MIN(MAX(IF(Z24=0,10,IF(Z24&lt;Z$6,8+(Z$6-Z24)*2,8+(Z$6-Z24)*0.4)),0),10)</f>
        <v>5.30148589328206</v>
      </c>
      <c r="AB24" s="63">
        <v>0</v>
      </c>
      <c r="AC24" s="98">
        <v>0.325</v>
      </c>
      <c r="AD24" s="98">
        <v>0</v>
      </c>
      <c r="AE24" s="96">
        <f>MIN(2,IF(AB24&lt;AB$6*1.1,0,(AB24/AB$6-1.1)*10*0.4))+MIN(2,IF(AC24&lt;AC$6*1.1,0,(AC24/AC$6-1.1)*10*0.4))+MIN(2,IF(AD24&lt;AD$6*1.1,0,(AD24/AD$6-1.1)*10*0.4))</f>
        <v>0.0209730819058587</v>
      </c>
    </row>
    <row r="25" ht="14.25" spans="1:31">
      <c r="A25" s="29">
        <f t="shared" si="0"/>
        <v>19</v>
      </c>
      <c r="B25" s="40" t="s">
        <v>135</v>
      </c>
      <c r="C25" s="36">
        <f>E25+G25+I25+K25+Q25+S25+M25+O25+AA25+U25+W25+Y25-AE25</f>
        <v>68.6354150026692</v>
      </c>
      <c r="D25" s="37">
        <v>3.56207482993197</v>
      </c>
      <c r="E25" s="38">
        <f>IF(D25="-",9.6,MAX(MIN(IF(D25&gt;D$6,(D$6-D25)*0.6+9.6,(D$6-D25)*0.6+9.6),12),0))</f>
        <v>10.9798667704285</v>
      </c>
      <c r="F25" s="39">
        <v>194.837962962963</v>
      </c>
      <c r="G25" s="38">
        <f>IF(F25="-",6.4,MAX(MIN(IF(F25&gt;F$6,(F$6-F25)*0.1+6.4,(F$6-F25)*0.1+6.4),8),0))</f>
        <v>0</v>
      </c>
      <c r="H25" s="39">
        <v>31.5776515151515</v>
      </c>
      <c r="I25" s="38">
        <f>IF(H25="-",9.6,MAX(MIN(IF(H25&gt;H$6,(H$6-H25)*0.3+9.6,(H$6-H25)*0.6+9.6),12),0))</f>
        <v>3.60234099560919</v>
      </c>
      <c r="J25" s="39">
        <v>227.020833333333</v>
      </c>
      <c r="K25" s="38">
        <f>IF(J25="-",6.4,MAX(MIN(IF(J25&gt;J$6,(J$6-J25)*0.1+6.4,(J$6-J25)*0.2+6.4),8),0))</f>
        <v>0</v>
      </c>
      <c r="L25" s="37">
        <v>5.33333333333333</v>
      </c>
      <c r="M25" s="38">
        <f>IF(L25="-",4.8,MAX(MIN(IF(L25&gt;L$6,(L$6-L25)*0.2+4.8,(L$6-L25)*0.2+4.8),6),0))</f>
        <v>5.01041756349548</v>
      </c>
      <c r="N25" s="39">
        <v>35.6898148148148</v>
      </c>
      <c r="O25" s="38">
        <f>IF(N25="-",3.2,MAX(MIN(IF(N25&gt;N$6,(N$6-N25)*0.05+3.2,(N$6-N25)*0.05+3.2),4),0))</f>
        <v>4</v>
      </c>
      <c r="P25" s="39">
        <v>6.37103174603175</v>
      </c>
      <c r="Q25" s="38">
        <f>IF(P25="-",4.8,MAX(MIN(IF(P25&gt;P$6,(P$6-P25)*0.2+4.8,(P$6-P25)*0.2+4.8),6),0))</f>
        <v>6</v>
      </c>
      <c r="R25" s="39">
        <v>36.5833333333333</v>
      </c>
      <c r="S25" s="38">
        <f>IF(R25="-",3.2,MAX(MIN(IF(R25&gt;R$6,(R$6-R25)*0.05+3.2,(R$6-R25)*0.05+3.2),4),0))</f>
        <v>4</v>
      </c>
      <c r="T25" s="65">
        <v>1.02803738317757</v>
      </c>
      <c r="U25" s="38">
        <f>IF(T25="-",8,IF(T25&lt;1,MAX(MIN(IF(T25&gt;T$6,(T25-T$6)*100*0.5+8,(T25-T$6)*100*0.2+8),10),0),10))</f>
        <v>10</v>
      </c>
      <c r="V25" s="66">
        <v>0.875</v>
      </c>
      <c r="W25" s="38">
        <f>IF(V25="-",8,IF(V25&lt;1,MAX(MIN(IF(V25&gt;V$6,(V25-V$6)*100*0.5+8,(V25-V$6)*100*0.2+8),10),0),10))</f>
        <v>9.9511630980703</v>
      </c>
      <c r="X25" s="63">
        <v>1.02409638554217</v>
      </c>
      <c r="Y25" s="96">
        <f>IF(X25=X$6,8,IF(X25&lt;1,MAX(MIN(IF(X25&gt;X$6,(X25-X$6)*100*0.4+8,(X25-X$6)*100*0.2+8),10),0),10))</f>
        <v>10</v>
      </c>
      <c r="Z25" s="97">
        <v>18.1064805072774</v>
      </c>
      <c r="AA25" s="96">
        <f>MIN(MAX(IF(Z25=0,10,IF(Z25&lt;Z$6,8+(Z$6-Z25)*2,8+(Z$6-Z25)*0.4)),0),10)</f>
        <v>5.09162657506577</v>
      </c>
      <c r="AB25" s="63">
        <v>0</v>
      </c>
      <c r="AC25" s="98">
        <v>0.161616161616162</v>
      </c>
      <c r="AD25" s="98">
        <v>0</v>
      </c>
      <c r="AE25" s="96">
        <f>MIN(2,IF(AB25&lt;AB$6*1.1,0,(AB25/AB$6-1.1)*10*0.4))+MIN(2,IF(AC25&lt;AC$6*1.1,0,(AC25/AC$6-1.1)*10*0.4))+MIN(2,IF(AD25&lt;AD$6*1.1,0,(AD25/AD$6-1.1)*10*0.4))</f>
        <v>0</v>
      </c>
    </row>
    <row r="26" ht="14.25" spans="1:31">
      <c r="A26" s="29">
        <f t="shared" si="0"/>
        <v>20</v>
      </c>
      <c r="B26" s="40" t="s">
        <v>32</v>
      </c>
      <c r="C26" s="36">
        <f>E26+G26+I26+K26+Q26+S26+M26+O26+AA26+U26+W26+Y26-AE26</f>
        <v>67.8328037138234</v>
      </c>
      <c r="D26" s="37">
        <v>6.48419540229885</v>
      </c>
      <c r="E26" s="38">
        <f>IF(D26="-",9.6,MAX(MIN(IF(D26&gt;D$6,(D$6-D26)*0.6+9.6,(D$6-D26)*0.6+9.6),12),0))</f>
        <v>9.22659442700836</v>
      </c>
      <c r="F26" s="39">
        <v>86.6208333333333</v>
      </c>
      <c r="G26" s="38">
        <f>IF(F26="-",6.4,MAX(MIN(IF(F26&gt;F$6,(F$6-F26)*0.1+6.4,(F$6-F26)*0.1+6.4),8),0))</f>
        <v>6.12738300935926</v>
      </c>
      <c r="H26" s="39">
        <v>17.8233333333333</v>
      </c>
      <c r="I26" s="38">
        <f>IF(H26="-",9.6,MAX(MIN(IF(H26&gt;H$6,(H$6-H26)*0.3+9.6,(H$6-H26)*0.6+9.6),12),0))</f>
        <v>7.72863645015465</v>
      </c>
      <c r="J26" s="39">
        <v>87.625</v>
      </c>
      <c r="K26" s="38">
        <f>IF(J26="-",6.4,MAX(MIN(IF(J26&gt;J$6,(J$6-J26)*0.1+6.4,(J$6-J26)*0.2+6.4),8),0))</f>
        <v>5.59733571119758</v>
      </c>
      <c r="L26" s="37">
        <v>6.08843537414966</v>
      </c>
      <c r="M26" s="38">
        <f>IF(L26="-",4.8,MAX(MIN(IF(L26&gt;L$6,(L$6-L26)*0.2+4.8,(L$6-L26)*0.2+4.8),6),0))</f>
        <v>4.85939715533221</v>
      </c>
      <c r="N26" s="39">
        <v>162.972222222222</v>
      </c>
      <c r="O26" s="38">
        <f>IF(N26="-",3.2,MAX(MIN(IF(N26&gt;N$6,(N$6-N26)*0.05+3.2,(N$6-N26)*0.05+3.2),4),0))</f>
        <v>0.3110824742268</v>
      </c>
      <c r="P26" s="39">
        <v>44.0037878787879</v>
      </c>
      <c r="Q26" s="38">
        <f>IF(P26="-",4.8,MAX(MIN(IF(P26&gt;P$6,(P$6-P26)*0.2+4.8,(P$6-P26)*0.2+4.8),6),0))</f>
        <v>0</v>
      </c>
      <c r="R26" s="39">
        <v>113.1875</v>
      </c>
      <c r="S26" s="38">
        <f>IF(R26="-",3.2,MAX(MIN(IF(R26&gt;R$6,(R$6-R26)*0.05+3.2,(R$6-R26)*0.05+3.2),4),0))</f>
        <v>2.0578781512605</v>
      </c>
      <c r="T26" s="65">
        <v>0.9765625</v>
      </c>
      <c r="U26" s="38">
        <f>IF(T26="-",8,IF(T26&lt;1,MAX(MIN(IF(T26&gt;T$6,(T26-T$6)*100*0.5+8,(T26-T$6)*100*0.2+8),10),0),10))</f>
        <v>10</v>
      </c>
      <c r="V26" s="66">
        <v>1.02439024390244</v>
      </c>
      <c r="W26" s="38">
        <f>IF(V26="-",8,IF(V26&lt;1,MAX(MIN(IF(V26&gt;V$6,(V26-V$6)*100*0.5+8,(V26-V$6)*100*0.2+8),10),0),10))</f>
        <v>10</v>
      </c>
      <c r="X26" s="63">
        <v>1</v>
      </c>
      <c r="Y26" s="96">
        <f>IF(X26=X$6,8,IF(X26&lt;1,MAX(MIN(IF(X26&gt;X$6,(X26-X$6)*100*0.4+8,(X26-X$6)*100*0.2+8),10),0),10))</f>
        <v>10</v>
      </c>
      <c r="Z26" s="97">
        <v>21.0243061067318</v>
      </c>
      <c r="AA26" s="96">
        <f>MIN(MAX(IF(Z26=0,10,IF(Z26&lt;Z$6,8+(Z$6-Z26)*2,8+(Z$6-Z26)*0.4)),0),10)</f>
        <v>3.924496335284</v>
      </c>
      <c r="AB26" s="63">
        <v>0</v>
      </c>
      <c r="AC26" s="98">
        <v>0.261061946902655</v>
      </c>
      <c r="AD26" s="98">
        <v>0.00598802395209581</v>
      </c>
      <c r="AE26" s="96">
        <f>MIN(2,IF(AB26&lt;AB$6*1.1,0,(AB26/AB$6-1.1)*10*0.4))+MIN(2,IF(AC26&lt;AC$6*1.1,0,(AC26/AC$6-1.1)*10*0.4))+MIN(2,IF(AD26&lt;AD$6*1.1,0,(AD26/AD$6-1.1)*10*0.4))</f>
        <v>2</v>
      </c>
    </row>
    <row r="27" ht="14.25" spans="1:31">
      <c r="A27" s="29">
        <f t="shared" si="0"/>
        <v>21</v>
      </c>
      <c r="B27" s="35" t="s">
        <v>136</v>
      </c>
      <c r="C27" s="36">
        <f>E27+G27+I27+K27+Q27+S27+M27+O27+AA27+U27+W27+Y27-AE27</f>
        <v>67.4678551027405</v>
      </c>
      <c r="D27" s="37">
        <v>5.68452380952381</v>
      </c>
      <c r="E27" s="38">
        <f>IF(D27="-",9.6,MAX(MIN(IF(D27&gt;D$6,(D$6-D27)*0.6+9.6,(D$6-D27)*0.6+9.6),12),0))</f>
        <v>9.70639738267338</v>
      </c>
      <c r="F27" s="39">
        <v>92.2</v>
      </c>
      <c r="G27" s="38">
        <f>IF(F27="-",6.4,MAX(MIN(IF(F27&gt;F$6,(F$6-F27)*0.1+6.4,(F$6-F27)*0.1+6.4),8),0))</f>
        <v>5.56946634269259</v>
      </c>
      <c r="H27" s="39">
        <v>20.8880208333333</v>
      </c>
      <c r="I27" s="38">
        <f>IF(H27="-",9.6,MAX(MIN(IF(H27&gt;H$6,(H$6-H27)*0.3+9.6,(H$6-H27)*0.6+9.6),12),0))</f>
        <v>6.80923020015465</v>
      </c>
      <c r="J27" s="39">
        <v>18.7708333333333</v>
      </c>
      <c r="K27" s="38">
        <f>IF(J27="-",6.4,MAX(MIN(IF(J27&gt;J$6,(J$6-J27)*0.1+6.4,(J$6-J27)*0.2+6.4),8),0))</f>
        <v>8</v>
      </c>
      <c r="L27" s="37">
        <v>8.87037037037037</v>
      </c>
      <c r="M27" s="38">
        <f>IF(L27="-",4.8,MAX(MIN(IF(L27&gt;L$6,(L$6-L27)*0.2+4.8,(L$6-L27)*0.2+4.8),6),0))</f>
        <v>4.30301015608807</v>
      </c>
      <c r="N27" s="39">
        <v>29.4375</v>
      </c>
      <c r="O27" s="38">
        <f>IF(N27="-",3.2,MAX(MIN(IF(N27&gt;N$6,(N$6-N27)*0.05+3.2,(N$6-N27)*0.05+3.2),4),0))</f>
        <v>4</v>
      </c>
      <c r="P27" s="39">
        <v>13.5833333333333</v>
      </c>
      <c r="Q27" s="38">
        <f>IF(P27="-",4.8,MAX(MIN(IF(P27&gt;P$6,(P$6-P27)*0.2+4.8,(P$6-P27)*0.2+4.8),6),0))</f>
        <v>5.2435367114788</v>
      </c>
      <c r="R27" s="39">
        <v>21.2083333333333</v>
      </c>
      <c r="S27" s="38">
        <f>IF(R27="-",3.2,MAX(MIN(IF(R27&gt;R$6,(R$6-R27)*0.05+3.2,(R$6-R27)*0.05+3.2),4),0))</f>
        <v>4</v>
      </c>
      <c r="T27" s="65">
        <v>0.883333333333333</v>
      </c>
      <c r="U27" s="38">
        <f>IF(T27="-",8,IF(T27&lt;1,MAX(MIN(IF(T27&gt;T$6,(T27-T$6)*100*0.5+8,(T27-T$6)*100*0.2+8),10),0),10))</f>
        <v>7.60175652881986</v>
      </c>
      <c r="V27" s="66">
        <v>0.78125</v>
      </c>
      <c r="W27" s="38">
        <f>IF(V27="-",8,IF(V27&lt;1,MAX(MIN(IF(V27&gt;V$6,(V27-V$6)*100*0.5+8,(V27-V$6)*100*0.2+8),10),0),10))</f>
        <v>6.90546523922812</v>
      </c>
      <c r="X27" s="63">
        <v>0.992366412213741</v>
      </c>
      <c r="Y27" s="96">
        <f>IF(X27=X$6,8,IF(X27&lt;1,MAX(MIN(IF(X27&gt;X$6,(X27-X$6)*100*0.4+8,(X27-X$6)*100*0.2+8),10),0),10))</f>
        <v>8.12636292817068</v>
      </c>
      <c r="Z27" s="97">
        <v>80.5507840291751</v>
      </c>
      <c r="AA27" s="96">
        <f>MIN(MAX(IF(Z27=0,10,IF(Z27&lt;Z$6,8+(Z$6-Z27)*2,8+(Z$6-Z27)*0.4)),0),10)</f>
        <v>0</v>
      </c>
      <c r="AB27" s="63">
        <v>0</v>
      </c>
      <c r="AC27" s="98">
        <v>0.382075471698113</v>
      </c>
      <c r="AD27" s="98">
        <v>0.0152671755725191</v>
      </c>
      <c r="AE27" s="96">
        <f>MIN(2,IF(AB27&lt;AB$6*1.1,0,(AB27/AB$6-1.1)*10*0.4))+MIN(2,IF(AC27&lt;AC$6*1.1,0,(AC27/AC$6-1.1)*10*0.4))+MIN(2,IF(AD27&lt;AD$6*1.1,0,(AD27/AD$6-1.1)*10*0.4))</f>
        <v>2.79737038656567</v>
      </c>
    </row>
    <row r="28" ht="14.25" spans="1:31">
      <c r="A28" s="29">
        <f t="shared" si="0"/>
        <v>22</v>
      </c>
      <c r="B28" s="40" t="s">
        <v>22</v>
      </c>
      <c r="C28" s="36">
        <f>E28+G28+I28+K28+Q28+S28+M28+O28+AA28+U28+W28+Y28-AE28</f>
        <v>65.1289366381626</v>
      </c>
      <c r="D28" s="37">
        <v>5.47161835748792</v>
      </c>
      <c r="E28" s="38">
        <f>IF(D28="-",9.6,MAX(MIN(IF(D28&gt;D$6,(D$6-D28)*0.6+9.6,(D$6-D28)*0.6+9.6),12),0))</f>
        <v>9.83414065389491</v>
      </c>
      <c r="F28" s="39">
        <v>56.7857142857143</v>
      </c>
      <c r="G28" s="38">
        <f>IF(F28="-",6.4,MAX(MIN(IF(F28&gt;F$6,(F$6-F28)*0.1+6.4,(F$6-F28)*0.1+6.4),8),0))</f>
        <v>8</v>
      </c>
      <c r="H28" s="39">
        <v>28.5735294117647</v>
      </c>
      <c r="I28" s="38">
        <f>IF(H28="-",9.6,MAX(MIN(IF(H28&gt;H$6,(H$6-H28)*0.3+9.6,(H$6-H28)*0.6+9.6),12),0))</f>
        <v>4.50357762662523</v>
      </c>
      <c r="J28" s="39">
        <v>49.8583333333333</v>
      </c>
      <c r="K28" s="38">
        <f>IF(J28="-",6.4,MAX(MIN(IF(J28&gt;J$6,(J$6-J28)*0.1+6.4,(J$6-J28)*0.2+6.4),8),0))</f>
        <v>8</v>
      </c>
      <c r="L28" s="37">
        <v>5.78921568627451</v>
      </c>
      <c r="M28" s="38">
        <f>IF(L28="-",4.8,MAX(MIN(IF(L28&gt;L$6,(L$6-L28)*0.2+4.8,(L$6-L28)*0.2+4.8),6),0))</f>
        <v>4.91924109290724</v>
      </c>
      <c r="N28" s="39">
        <v>178.40625</v>
      </c>
      <c r="O28" s="38">
        <f>IF(N28="-",3.2,MAX(MIN(IF(N28&gt;N$6,(N$6-N28)*0.05+3.2,(N$6-N28)*0.05+3.2),4),0))</f>
        <v>0</v>
      </c>
      <c r="P28" s="39">
        <v>13.6875</v>
      </c>
      <c r="Q28" s="38">
        <f>IF(P28="-",4.8,MAX(MIN(IF(P28&gt;P$6,(P$6-P28)*0.2+4.8,(P$6-P28)*0.2+4.8),6),0))</f>
        <v>5.22270337814546</v>
      </c>
      <c r="R28" s="39">
        <v>147.895833333333</v>
      </c>
      <c r="S28" s="38">
        <f>IF(R28="-",3.2,MAX(MIN(IF(R28&gt;R$6,(R$6-R28)*0.05+3.2,(R$6-R28)*0.05+3.2),4),0))</f>
        <v>0.322461484593854</v>
      </c>
      <c r="T28" s="65">
        <v>1.01960784313725</v>
      </c>
      <c r="U28" s="38">
        <f>IF(T28="-",8,IF(T28&lt;1,MAX(MIN(IF(T28&gt;T$6,(T28-T$6)*100*0.5+8,(T28-T$6)*100*0.2+8),10),0),10))</f>
        <v>10</v>
      </c>
      <c r="V28" s="66">
        <v>1.06976744186047</v>
      </c>
      <c r="W28" s="38">
        <f>IF(V28="-",8,IF(V28&lt;1,MAX(MIN(IF(V28&gt;V$6,(V28-V$6)*100*0.5+8,(V28-V$6)*100*0.2+8),10),0),10))</f>
        <v>10</v>
      </c>
      <c r="X28" s="63">
        <v>0.933333333333333</v>
      </c>
      <c r="Y28" s="96">
        <f>IF(X28=X$6,8,IF(X28&lt;1,MAX(MIN(IF(X28&gt;X$6,(X28-X$6)*100*0.4+8,(X28-X$6)*100*0.2+8),10),0),10))</f>
        <v>6.88251988647718</v>
      </c>
      <c r="Z28" s="97">
        <v>27.224815656145</v>
      </c>
      <c r="AA28" s="99">
        <f>MIN(MAX(IF(Z28=0,10,IF(Z28&lt;Z$6,8+(Z$6-Z28)*2,8+(Z$6-Z28)*0.4)),0),10)</f>
        <v>1.44429251551874</v>
      </c>
      <c r="AB28" s="63">
        <v>0</v>
      </c>
      <c r="AC28" s="98">
        <v>0.484536082474227</v>
      </c>
      <c r="AD28" s="98">
        <v>0.0266666666666667</v>
      </c>
      <c r="AE28" s="96">
        <f>MIN(2,IF(AB28&lt;AB$6*1.1,0,(AB28/AB$6-1.1)*10*0.4))+MIN(2,IF(AC28&lt;AC$6*1.1,0,(AC28/AC$6-1.1)*10*0.4))+MIN(2,IF(AD28&lt;AD$6*1.1,0,(AD28/AD$6-1.1)*10*0.4))</f>
        <v>4</v>
      </c>
    </row>
    <row r="29" ht="14.25" spans="1:31">
      <c r="A29" s="29">
        <f t="shared" si="0"/>
        <v>23</v>
      </c>
      <c r="B29" s="40" t="s">
        <v>137</v>
      </c>
      <c r="C29" s="36">
        <f>E29+G29+I29+K29+Q29+S29+M29+O29+AA29+U29+W29+Y29-AE29</f>
        <v>64.0277244869229</v>
      </c>
      <c r="D29" s="37">
        <v>8.1284417106034</v>
      </c>
      <c r="E29" s="38">
        <f>IF(D29="-",9.6,MAX(MIN(IF(D29&gt;D$6,(D$6-D29)*0.6+9.6,(D$6-D29)*0.6+9.6),12),0))</f>
        <v>8.24004664202563</v>
      </c>
      <c r="F29" s="39">
        <v>115.091292134831</v>
      </c>
      <c r="G29" s="38">
        <f>IF(F29="-",6.4,MAX(MIN(IF(F29&gt;F$6,(F$6-F29)*0.1+6.4,(F$6-F29)*0.1+6.4),8),0))</f>
        <v>3.28033712920949</v>
      </c>
      <c r="H29" s="39">
        <v>17.4176798378926</v>
      </c>
      <c r="I29" s="38">
        <f>IF(H29="-",9.6,MAX(MIN(IF(H29&gt;H$6,(H$6-H29)*0.3+9.6,(H$6-H29)*0.6+9.6),12),0))</f>
        <v>7.85033249878686</v>
      </c>
      <c r="J29" s="39">
        <v>119.376126126126</v>
      </c>
      <c r="K29" s="38">
        <f>IF(J29="-",6.4,MAX(MIN(IF(J29&gt;J$6,(J$6-J29)*0.1+6.4,(J$6-J29)*0.2+6.4),8),0))</f>
        <v>2.42222309858498</v>
      </c>
      <c r="L29" s="37">
        <v>7.45941278065631</v>
      </c>
      <c r="M29" s="38">
        <f>IF(L29="-",4.8,MAX(MIN(IF(L29&gt;L$6,(L$6-L29)*0.2+4.8,(L$6-L29)*0.2+4.8),6),0))</f>
        <v>4.58520167403088</v>
      </c>
      <c r="N29" s="39">
        <v>218.714285714286</v>
      </c>
      <c r="O29" s="38">
        <f>IF(N29="-",3.2,MAX(MIN(IF(N29&gt;N$6,(N$6-N29)*0.05+3.2,(N$6-N29)*0.05+3.2),4),0))</f>
        <v>0</v>
      </c>
      <c r="P29" s="39">
        <v>35.3929597701149</v>
      </c>
      <c r="Q29" s="38">
        <f>IF(P29="-",4.8,MAX(MIN(IF(P29&gt;P$6,(P$6-P29)*0.2+4.8,(P$6-P29)*0.2+4.8),6),0))</f>
        <v>0.88161142412248</v>
      </c>
      <c r="R29" s="39">
        <v>94.0520833333333</v>
      </c>
      <c r="S29" s="38">
        <f>IF(R29="-",3.2,MAX(MIN(IF(R29&gt;R$6,(R$6-R29)*0.05+3.2,(R$6-R29)*0.05+3.2),4),0))</f>
        <v>3.01464898459384</v>
      </c>
      <c r="T29" s="65">
        <v>0.932418162618796</v>
      </c>
      <c r="U29" s="38">
        <f>IF(T29="-",8,IF(T29&lt;1,MAX(MIN(IF(T29&gt;T$6,(T29-T$6)*100*0.5+8,(T29-T$6)*100*0.2+8),10),0),10))</f>
        <v>9.4586327863228</v>
      </c>
      <c r="V29" s="66">
        <v>0.891143911439114</v>
      </c>
      <c r="W29" s="38">
        <f>IF(V29="-",8,IF(V29&lt;1,MAX(MIN(IF(V29&gt;V$6,(V29-V$6)*100*0.5+8,(V29-V$6)*100*0.2+8),10),0),10))</f>
        <v>10</v>
      </c>
      <c r="X29" s="63">
        <v>0.995607613469985</v>
      </c>
      <c r="Y29" s="96">
        <f>IF(X29=X$6,8,IF(X29&lt;1,MAX(MIN(IF(X29&gt;X$6,(X29-X$6)*100*0.4+8,(X29-X$6)*100*0.2+8),10),0),10))</f>
        <v>8.25601097842044</v>
      </c>
      <c r="Z29" s="97">
        <v>7.13107009086556</v>
      </c>
      <c r="AA29" s="96">
        <f>MIN(MAX(IF(Z29=0,10,IF(Z29&lt;Z$6,8+(Z$6-Z29)*2,8+(Z$6-Z29)*0.4)),0),10)</f>
        <v>10</v>
      </c>
      <c r="AB29" s="63">
        <v>0.0254345061466723</v>
      </c>
      <c r="AC29" s="98">
        <v>0.372242647058824</v>
      </c>
      <c r="AD29" s="98">
        <v>0.00512445095168375</v>
      </c>
      <c r="AE29" s="96">
        <f>MIN(2,IF(AB29&lt;AB$6*1.1,0,(AB29/AB$6-1.1)*10*0.4))+MIN(2,IF(AC29&lt;AC$6*1.1,0,(AC29/AC$6-1.1)*10*0.4))+MIN(2,IF(AD29&lt;AD$6*1.1,0,(AD29/AD$6-1.1)*10*0.4))</f>
        <v>3.9613207291745</v>
      </c>
    </row>
    <row r="30" ht="14.25" spans="1:31">
      <c r="A30" s="29">
        <f t="shared" si="0"/>
        <v>24</v>
      </c>
      <c r="B30" s="40" t="s">
        <v>138</v>
      </c>
      <c r="C30" s="36">
        <f>E30+G30+I30+K30+Q30+S30+M30+O30+AA30+U30+W30+Y30-AE30</f>
        <v>62.0623206899748</v>
      </c>
      <c r="D30" s="37">
        <v>8.98521505376344</v>
      </c>
      <c r="E30" s="38">
        <f>IF(D30="-",9.6,MAX(MIN(IF(D30&gt;D$6,(D$6-D30)*0.6+9.6,(D$6-D30)*0.6+9.6),12),0))</f>
        <v>7.7259826361296</v>
      </c>
      <c r="F30" s="39">
        <v>136.530797101449</v>
      </c>
      <c r="G30" s="38">
        <f>IF(F30="-",6.4,MAX(MIN(IF(F30&gt;F$6,(F$6-F30)*0.1+6.4,(F$6-F30)*0.1+6.4),8),0))</f>
        <v>1.13638663254769</v>
      </c>
      <c r="H30" s="39">
        <v>10.1689686924494</v>
      </c>
      <c r="I30" s="38">
        <f>IF(H30="-",9.6,MAX(MIN(IF(H30&gt;H$6,(H$6-H30)*0.3+9.6,(H$6-H30)*0.6+9.6),12),0))</f>
        <v>10.4498916848396</v>
      </c>
      <c r="J30" s="39">
        <v>144.780555555556</v>
      </c>
      <c r="K30" s="38">
        <f>IF(J30="-",6.4,MAX(MIN(IF(J30&gt;J$6,(J$6-J30)*0.1+6.4,(J$6-J30)*0.2+6.4),8),0))</f>
        <v>0</v>
      </c>
      <c r="L30" s="37">
        <v>10.9252008032129</v>
      </c>
      <c r="M30" s="38">
        <f>IF(L30="-",4.8,MAX(MIN(IF(L30&gt;L$6,(L$6-L30)*0.2+4.8,(L$6-L30)*0.2+4.8),6),0))</f>
        <v>3.89204406951957</v>
      </c>
      <c r="N30" s="39">
        <v>192.543859649123</v>
      </c>
      <c r="O30" s="38">
        <f>IF(N30="-",3.2,MAX(MIN(IF(N30&gt;N$6,(N$6-N30)*0.05+3.2,(N$6-N30)*0.05+3.2),4),0))</f>
        <v>0</v>
      </c>
      <c r="P30" s="39">
        <v>29.38125</v>
      </c>
      <c r="Q30" s="38">
        <f>IF(P30="-",4.8,MAX(MIN(IF(P30&gt;P$6,(P$6-P30)*0.2+4.8,(P$6-P30)*0.2+4.8),6),0))</f>
        <v>2.08395337814546</v>
      </c>
      <c r="R30" s="39">
        <v>200.071428571429</v>
      </c>
      <c r="S30" s="38">
        <f>IF(R30="-",3.2,MAX(MIN(IF(R30&gt;R$6,(R$6-R30)*0.05+3.2,(R$6-R30)*0.05+3.2),4),0))</f>
        <v>0</v>
      </c>
      <c r="T30" s="65">
        <v>0.964285714285714</v>
      </c>
      <c r="U30" s="38">
        <f>IF(T30="-",8,IF(T30&lt;1,MAX(MIN(IF(T30&gt;T$6,(T30-T$6)*100*0.5+8,(T30-T$6)*100*0.2+8),10),0),10))</f>
        <v>10</v>
      </c>
      <c r="V30" s="66">
        <v>0.843971631205674</v>
      </c>
      <c r="W30" s="38">
        <f>IF(V30="-",8,IF(V30&lt;1,MAX(MIN(IF(V30&gt;V$6,(V30-V$6)*100*0.5+8,(V30-V$6)*100*0.2+8),10),0),10))</f>
        <v>8.399744658354</v>
      </c>
      <c r="X30" s="63">
        <v>0.998565279770445</v>
      </c>
      <c r="Y30" s="96">
        <f>IF(X30=X$6,8,IF(X30&lt;1,MAX(MIN(IF(X30&gt;X$6,(X30-X$6)*100*0.4+8,(X30-X$6)*100*0.2+8),10),0),10))</f>
        <v>8.37431763043884</v>
      </c>
      <c r="Z30" s="97">
        <v>5.42367359185977</v>
      </c>
      <c r="AA30" s="96">
        <f>MIN(MAX(IF(Z30=0,10,IF(Z30&lt;Z$6,8+(Z$6-Z30)*2,8+(Z$6-Z30)*0.4)),0),10)</f>
        <v>10</v>
      </c>
      <c r="AB30" s="63">
        <v>0.00356294536817103</v>
      </c>
      <c r="AC30" s="98">
        <v>0.104113110539846</v>
      </c>
      <c r="AD30" s="98">
        <v>0.00286944045911047</v>
      </c>
      <c r="AE30" s="96">
        <f>MIN(2,IF(AB30&lt;AB$6*1.1,0,(AB30/AB$6-1.1)*10*0.4))+MIN(2,IF(AC30&lt;AC$6*1.1,0,(AC30/AC$6-1.1)*10*0.4))+MIN(2,IF(AD30&lt;AD$6*1.1,0,(AD30/AD$6-1.1)*10*0.4))</f>
        <v>0</v>
      </c>
    </row>
    <row r="31" ht="14.25" spans="1:31">
      <c r="A31" s="29">
        <f t="shared" si="0"/>
        <v>25</v>
      </c>
      <c r="B31" s="35" t="s">
        <v>139</v>
      </c>
      <c r="C31" s="36">
        <f>E31+G31+I31+K31+Q31+S31+M31+O31+AA31+U31+W31+Y31-AE31</f>
        <v>60.0332476580323</v>
      </c>
      <c r="D31" s="37">
        <v>4.46099290780142</v>
      </c>
      <c r="E31" s="38">
        <f>IF(D31="-",9.6,MAX(MIN(IF(D31&gt;D$6,(D$6-D31)*0.6+9.6,(D$6-D31)*0.6+9.6),12),0))</f>
        <v>10.4405159237068</v>
      </c>
      <c r="F31" s="39">
        <v>108.327380952381</v>
      </c>
      <c r="G31" s="38">
        <f>IF(F31="-",6.4,MAX(MIN(IF(F31&gt;F$6,(F$6-F31)*0.1+6.4,(F$6-F31)*0.1+6.4),8),0))</f>
        <v>3.95672824745449</v>
      </c>
      <c r="H31" s="39">
        <v>8.734375</v>
      </c>
      <c r="I31" s="38">
        <f>IF(H31="-",9.6,MAX(MIN(IF(H31&gt;H$6,(H$6-H31)*0.3+9.6,(H$6-H31)*0.6+9.6),12),0))</f>
        <v>11.3106479003093</v>
      </c>
      <c r="J31" s="39">
        <v>182.827380952381</v>
      </c>
      <c r="K31" s="38">
        <f>IF(J31="-",6.4,MAX(MIN(IF(J31&gt;J$6,(J$6-J31)*0.1+6.4,(J$6-J31)*0.2+6.4),8),0))</f>
        <v>0</v>
      </c>
      <c r="L31" s="37">
        <v>5.67037037037037</v>
      </c>
      <c r="M31" s="38">
        <f>IF(L31="-",4.8,MAX(MIN(IF(L31&gt;L$6,(L$6-L31)*0.2+4.8,(L$6-L31)*0.2+4.8),6),0))</f>
        <v>4.94301015608807</v>
      </c>
      <c r="N31" s="39">
        <v>84.0833333333333</v>
      </c>
      <c r="O31" s="38">
        <f>IF(N31="-",3.2,MAX(MIN(IF(N31&gt;N$6,(N$6-N31)*0.05+3.2,(N$6-N31)*0.05+3.2),4),0))</f>
        <v>4</v>
      </c>
      <c r="P31" s="39">
        <v>46.8674242424242</v>
      </c>
      <c r="Q31" s="38">
        <f>IF(P31="-",4.8,MAX(MIN(IF(P31&gt;P$6,(P$6-P31)*0.2+4.8,(P$6-P31)*0.2+4.8),6),0))</f>
        <v>0</v>
      </c>
      <c r="R31" s="39">
        <v>17.797619047619</v>
      </c>
      <c r="S31" s="38">
        <f>IF(R31="-",3.2,MAX(MIN(IF(R31&gt;R$6,(R$6-R31)*0.05+3.2,(R$6-R31)*0.05+3.2),4),0))</f>
        <v>4</v>
      </c>
      <c r="T31" s="65">
        <v>0.81203007518797</v>
      </c>
      <c r="U31" s="38">
        <f>IF(T31="-",8,IF(T31&lt;1,MAX(MIN(IF(T31&gt;T$6,(T31-T$6)*100*0.5+8,(T31-T$6)*100*0.2+8),10),0),10))</f>
        <v>6.1756913659126</v>
      </c>
      <c r="V31" s="66">
        <v>1.05633802816901</v>
      </c>
      <c r="W31" s="38">
        <f>IF(V31="-",8,IF(V31&lt;1,MAX(MIN(IF(V31&gt;V$6,(V31-V$6)*100*0.5+8,(V31-V$6)*100*0.2+8),10),0),10))</f>
        <v>10</v>
      </c>
      <c r="X31" s="63">
        <v>0.907103825136612</v>
      </c>
      <c r="Y31" s="96">
        <f>IF(X31=X$6,8,IF(X31&lt;1,MAX(MIN(IF(X31&gt;X$6,(X31-X$6)*100*0.4+8,(X31-X$6)*100*0.2+8),10),0),10))</f>
        <v>6.35792972254276</v>
      </c>
      <c r="Z31" s="97">
        <v>28.7137360898962</v>
      </c>
      <c r="AA31" s="96">
        <f>MIN(MAX(IF(Z31=0,10,IF(Z31&lt;Z$6,8+(Z$6-Z31)*2,8+(Z$6-Z31)*0.4)),0),10)</f>
        <v>0.848724342018266</v>
      </c>
      <c r="AB31" s="63">
        <v>0.00438596491228072</v>
      </c>
      <c r="AC31" s="98">
        <v>0.111650485436893</v>
      </c>
      <c r="AD31" s="98">
        <v>0.0109289617486339</v>
      </c>
      <c r="AE31" s="96">
        <f>MIN(2,IF(AB31&lt;AB$6*1.1,0,(AB31/AB$6-1.1)*10*0.4))+MIN(2,IF(AC31&lt;AC$6*1.1,0,(AC31/AC$6-1.1)*10*0.4))+MIN(2,IF(AD31&lt;AD$6*1.1,0,(AD31/AD$6-1.1)*10*0.4))</f>
        <v>2</v>
      </c>
    </row>
    <row r="32" ht="14.25" spans="1:31">
      <c r="A32" s="29">
        <f t="shared" si="0"/>
        <v>26</v>
      </c>
      <c r="B32" s="35" t="s">
        <v>140</v>
      </c>
      <c r="C32" s="36">
        <f>E32+G32+I32+K32+Q32+S32+M32+O32+AA32+U32+W32+Y32-AE32</f>
        <v>57.6993296262773</v>
      </c>
      <c r="D32" s="37">
        <v>3.41785714285714</v>
      </c>
      <c r="E32" s="38">
        <f>IF(D32="-",9.6,MAX(MIN(IF(D32&gt;D$6,(D$6-D32)*0.6+9.6,(D$6-D32)*0.6+9.6),12),0))</f>
        <v>11.0663973826734</v>
      </c>
      <c r="F32" s="39">
        <v>245.291666666667</v>
      </c>
      <c r="G32" s="38">
        <f>IF(F32="-",6.4,MAX(MIN(IF(F32&gt;F$6,(F$6-F32)*0.1+6.4,(F$6-F32)*0.1+6.4),8),0))</f>
        <v>0</v>
      </c>
      <c r="H32" s="39">
        <v>32.516975308642</v>
      </c>
      <c r="I32" s="38">
        <f>IF(H32="-",9.6,MAX(MIN(IF(H32&gt;H$6,(H$6-H32)*0.3+9.6,(H$6-H32)*0.6+9.6),12),0))</f>
        <v>3.32054385756204</v>
      </c>
      <c r="J32" s="39">
        <v>360.875</v>
      </c>
      <c r="K32" s="38">
        <f>IF(J32="-",6.4,MAX(MIN(IF(J32&gt;J$6,(J$6-J32)*0.1+6.4,(J$6-J32)*0.2+6.4),8),0))</f>
        <v>0</v>
      </c>
      <c r="L32" s="37">
        <v>1.125</v>
      </c>
      <c r="M32" s="38">
        <f>IF(L32="-",4.8,MAX(MIN(IF(L32&gt;L$6,(L$6-L32)*0.2+4.8,(L$6-L32)*0.2+4.8),6),0))</f>
        <v>5.85208423016215</v>
      </c>
      <c r="N32" s="39">
        <v>103.354166666667</v>
      </c>
      <c r="O32" s="38">
        <f>IF(N32="-",3.2,MAX(MIN(IF(N32&gt;N$6,(N$6-N32)*0.05+3.2,(N$6-N32)*0.05+3.2),4),0))</f>
        <v>3.29198525200455</v>
      </c>
      <c r="P32" s="39">
        <v>5.1875</v>
      </c>
      <c r="Q32" s="38">
        <f>IF(P32="-",4.8,MAX(MIN(IF(P32&gt;P$6,(P$6-P32)*0.2+4.8,(P$6-P32)*0.2+4.8),6),0))</f>
        <v>6</v>
      </c>
      <c r="R32" s="39" t="s">
        <v>123</v>
      </c>
      <c r="S32" s="38">
        <f>IF(R32="-",3.2,MAX(MIN(IF(R32&gt;R$6,(R$6-R32)*0.05+3.2,(R$6-R32)*0.05+3.2),4),0))</f>
        <v>3.2</v>
      </c>
      <c r="T32" s="65">
        <v>0.962962962962963</v>
      </c>
      <c r="U32" s="38">
        <f>IF(T32="-",8,IF(T32&lt;1,MAX(MIN(IF(T32&gt;T$6,(T32-T$6)*100*0.5+8,(T32-T$6)*100*0.2+8),10),0),10))</f>
        <v>10</v>
      </c>
      <c r="V32" s="66">
        <v>1.02777777777778</v>
      </c>
      <c r="W32" s="38">
        <f>IF(V32="-",8,IF(V32&lt;1,MAX(MIN(IF(V32&gt;V$6,(V32-V$6)*100*0.5+8,(V32-V$6)*100*0.2+8),10),0),10))</f>
        <v>10</v>
      </c>
      <c r="X32" s="63">
        <v>0.98876404494382</v>
      </c>
      <c r="Y32" s="96">
        <f>IF(X32=X$6,8,IF(X32&lt;1,MAX(MIN(IF(X32&gt;X$6,(X32-X$6)*100*0.4+8,(X32-X$6)*100*0.2+8),10),0),10))</f>
        <v>7.99113411868692</v>
      </c>
      <c r="Z32" s="97">
        <v>60.0943733156007</v>
      </c>
      <c r="AA32" s="96">
        <f>MIN(MAX(IF(Z32=0,10,IF(Z32&lt;Z$6,8+(Z$6-Z32)*2,8+(Z$6-Z32)*0.4)),0),10)</f>
        <v>0</v>
      </c>
      <c r="AB32" s="63">
        <v>0</v>
      </c>
      <c r="AC32" s="98">
        <v>0.398648648648649</v>
      </c>
      <c r="AD32" s="98">
        <v>0.0337078651685393</v>
      </c>
      <c r="AE32" s="96">
        <f>MIN(2,IF(AB32&lt;AB$6*1.1,0,(AB32/AB$6-1.1)*10*0.4))+MIN(2,IF(AC32&lt;AC$6*1.1,0,(AC32/AC$6-1.1)*10*0.4))+MIN(2,IF(AD32&lt;AD$6*1.1,0,(AD32/AD$6-1.1)*10*0.4))</f>
        <v>3.02281521481177</v>
      </c>
    </row>
    <row r="33" ht="14.25" spans="1:31">
      <c r="A33" s="29">
        <f t="shared" si="0"/>
        <v>27</v>
      </c>
      <c r="B33" s="40" t="s">
        <v>141</v>
      </c>
      <c r="C33" s="36">
        <f>E33+G33+I33+K33+Q33+S33+M33+O33+AA33+U33+W33+Y33-AE33</f>
        <v>48.8798280889169</v>
      </c>
      <c r="D33" s="37">
        <v>13.8072493224932</v>
      </c>
      <c r="E33" s="38">
        <f>IF(D33="-",9.6,MAX(MIN(IF(D33&gt;D$6,(D$6-D33)*0.6+9.6,(D$6-D33)*0.6+9.6),12),0))</f>
        <v>4.83276207489175</v>
      </c>
      <c r="F33" s="39">
        <v>91.2361111111111</v>
      </c>
      <c r="G33" s="38">
        <f>IF(F33="-",6.4,MAX(MIN(IF(F33&gt;F$6,(F$6-F33)*0.1+6.4,(F$6-F33)*0.1+6.4),8),0))</f>
        <v>5.66585523158148</v>
      </c>
      <c r="H33" s="39">
        <v>26.5647163120567</v>
      </c>
      <c r="I33" s="38">
        <f>IF(H33="-",9.6,MAX(MIN(IF(H33&gt;H$6,(H$6-H33)*0.3+9.6,(H$6-H33)*0.6+9.6),12),0))</f>
        <v>5.10622155653763</v>
      </c>
      <c r="J33" s="39">
        <v>143.954166666667</v>
      </c>
      <c r="K33" s="38">
        <f>IF(J33="-",6.4,MAX(MIN(IF(J33&gt;J$6,(J$6-J33)*0.1+6.4,(J$6-J33)*0.2+6.4),8),0))</f>
        <v>0</v>
      </c>
      <c r="L33" s="37">
        <v>8.25106837606838</v>
      </c>
      <c r="M33" s="38">
        <f>IF(L33="-",4.8,MAX(MIN(IF(L33&gt;L$6,(L$6-L33)*0.2+4.8,(L$6-L33)*0.2+4.8),6),0))</f>
        <v>4.42687055494847</v>
      </c>
      <c r="N33" s="39">
        <v>227.361111111111</v>
      </c>
      <c r="O33" s="38">
        <f>IF(N33="-",3.2,MAX(MIN(IF(N33&gt;N$6,(N$6-N33)*0.05+3.2,(N$6-N33)*0.05+3.2),4),0))</f>
        <v>0</v>
      </c>
      <c r="P33" s="39">
        <v>36.075</v>
      </c>
      <c r="Q33" s="38">
        <f>IF(P33="-",4.8,MAX(MIN(IF(P33&gt;P$6,(P$6-P33)*0.2+4.8,(P$6-P33)*0.2+4.8),6),0))</f>
        <v>0.745203378145459</v>
      </c>
      <c r="R33" s="39">
        <v>52.5208333333333</v>
      </c>
      <c r="S33" s="38">
        <f>IF(R33="-",3.2,MAX(MIN(IF(R33&gt;R$6,(R$6-R33)*0.05+3.2,(R$6-R33)*0.05+3.2),4),0))</f>
        <v>4</v>
      </c>
      <c r="T33" s="65">
        <v>0.910112359550562</v>
      </c>
      <c r="U33" s="38">
        <f>IF(T33="-",8,IF(T33&lt;1,MAX(MIN(IF(T33&gt;T$6,(T33-T$6)*100*0.5+8,(T33-T$6)*100*0.2+8),10),0),10))</f>
        <v>8.3433426329111</v>
      </c>
      <c r="V33" s="66">
        <v>0.831325301204819</v>
      </c>
      <c r="W33" s="38">
        <f>IF(V33="-",8,IF(V33&lt;1,MAX(MIN(IF(V33&gt;V$6,(V33-V$6)*100*0.5+8,(V33-V$6)*100*0.2+8),10),0),10))</f>
        <v>7.9069712633245</v>
      </c>
      <c r="X33" s="63">
        <v>1.16450216450216</v>
      </c>
      <c r="Y33" s="96">
        <f>IF(X33=X$6,8,IF(X33&lt;1,MAX(MIN(IF(X33&gt;X$6,(X33-X$6)*100*0.4+8,(X33-X$6)*100*0.2+8),10),0),10))</f>
        <v>10</v>
      </c>
      <c r="Z33" s="97">
        <v>49.5842236407949</v>
      </c>
      <c r="AA33" s="96">
        <f>MIN(MAX(IF(Z33=0,10,IF(Z33&lt;Z$6,8+(Z$6-Z33)*2,8+(Z$6-Z33)*0.4)),0),10)</f>
        <v>0</v>
      </c>
      <c r="AB33" s="63">
        <v>0</v>
      </c>
      <c r="AC33" s="98">
        <v>0.334293948126801</v>
      </c>
      <c r="AD33" s="98">
        <v>0.0173160173160173</v>
      </c>
      <c r="AE33" s="96">
        <f>MIN(2,IF(AB33&lt;AB$6*1.1,0,(AB33/AB$6-1.1)*10*0.4))+MIN(2,IF(AC33&lt;AC$6*1.1,0,(AC33/AC$6-1.1)*10*0.4))+MIN(2,IF(AD33&lt;AD$6*1.1,0,(AD33/AD$6-1.1)*10*0.4))</f>
        <v>2.14739860342345</v>
      </c>
    </row>
    <row r="34" ht="15" spans="1:31">
      <c r="A34" s="41">
        <f t="shared" si="0"/>
        <v>28</v>
      </c>
      <c r="B34" s="42" t="s">
        <v>70</v>
      </c>
      <c r="C34" s="43">
        <f>E34+G34+I34+K34+Q34+S34+M34+O34+AA34+U34+W34+Y34-AE34</f>
        <v>48.1134494951435</v>
      </c>
      <c r="D34" s="44">
        <v>6.03703703703704</v>
      </c>
      <c r="E34" s="45">
        <f>IF(D34="-",9.6,MAX(MIN(IF(D34&gt;D$6,(D$6-D34)*0.6+9.6,(D$6-D34)*0.6+9.6),12),0))</f>
        <v>9.49488944616544</v>
      </c>
      <c r="F34" s="46">
        <v>119.213888888889</v>
      </c>
      <c r="G34" s="45">
        <f>IF(F34="-",6.4,MAX(MIN(IF(F34&gt;F$6,(F$6-F34)*0.1+6.4,(F$6-F34)*0.1+6.4),8),0))</f>
        <v>2.86807745380369</v>
      </c>
      <c r="H34" s="46">
        <v>44.3352272727273</v>
      </c>
      <c r="I34" s="45">
        <f>IF(H34="-",9.6,MAX(MIN(IF(H34&gt;H$6,(H$6-H34)*0.3+9.6,(H$6-H34)*0.6+9.6),12),0))</f>
        <v>0</v>
      </c>
      <c r="J34" s="46">
        <v>196.797619047619</v>
      </c>
      <c r="K34" s="45">
        <f>IF(J34="-",6.4,MAX(MIN(IF(J34&gt;J$6,(J$6-J34)*0.1+6.4,(J$6-J34)*0.2+6.4),8),0))</f>
        <v>0</v>
      </c>
      <c r="L34" s="44">
        <v>17.7286036036036</v>
      </c>
      <c r="M34" s="45">
        <f>IF(L34="-",4.8,MAX(MIN(IF(L34&gt;L$6,(L$6-L34)*0.2+4.8,(L$6-L34)*0.2+4.8),6),0))</f>
        <v>2.53136350944143</v>
      </c>
      <c r="N34" s="46">
        <v>96.4916666666667</v>
      </c>
      <c r="O34" s="45">
        <f>IF(N34="-",3.2,MAX(MIN(IF(N34&gt;N$6,(N$6-N34)*0.05+3.2,(N$6-N34)*0.05+3.2),4),0))</f>
        <v>3.63511025200457</v>
      </c>
      <c r="P34" s="46">
        <v>29.9114583333333</v>
      </c>
      <c r="Q34" s="45">
        <f>IF(P34="-",4.8,MAX(MIN(IF(P34&gt;P$6,(P$6-P34)*0.2+4.8,(P$6-P34)*0.2+4.8),6),0))</f>
        <v>1.9779117114788</v>
      </c>
      <c r="R34" s="46">
        <v>272.5625</v>
      </c>
      <c r="S34" s="45">
        <f>IF(R34="-",3.2,MAX(MIN(IF(R34&gt;R$6,(R$6-R34)*0.05+3.2,(R$6-R34)*0.05+3.2),4),0))</f>
        <v>0</v>
      </c>
      <c r="T34" s="67">
        <v>0.9609375</v>
      </c>
      <c r="U34" s="45">
        <f>IF(T34="-",8,IF(T34&lt;1,MAX(MIN(IF(T34&gt;T$6,(T34-T$6)*100*0.5+8,(T34-T$6)*100*0.2+8),10),0),10))</f>
        <v>10</v>
      </c>
      <c r="V34" s="68">
        <v>0.911111111111111</v>
      </c>
      <c r="W34" s="45">
        <f>IF(V34="-",8,IF(V34&lt;1,MAX(MIN(IF(V34&gt;V$6,(V34-V$6)*100*0.5+8,(V34-V$6)*100*0.2+8),10),0),10))</f>
        <v>10</v>
      </c>
      <c r="X34" s="69">
        <v>0.969512195121951</v>
      </c>
      <c r="Y34" s="100">
        <f>IF(X34=X$6,8,IF(X34&lt;1,MAX(MIN(IF(X34&gt;X$6,(X34-X$6)*100*0.4+8,(X34-X$6)*100*0.2+8),10),0),10))</f>
        <v>7.60609712224954</v>
      </c>
      <c r="Z34" s="101">
        <v>71.0542676969535</v>
      </c>
      <c r="AA34" s="100">
        <f>MIN(MAX(IF(Z34=0,10,IF(Z34&lt;Z$6,8+(Z$6-Z34)*2,8+(Z$6-Z34)*0.4)),0),10)</f>
        <v>0</v>
      </c>
      <c r="AB34" s="69">
        <v>0</v>
      </c>
      <c r="AC34" s="102">
        <v>0.29004329004329</v>
      </c>
      <c r="AD34" s="102">
        <v>0</v>
      </c>
      <c r="AE34" s="100">
        <f>MIN(2,IF(AB34&lt;AB$6*1.1,0,(AB34/AB$6-1.1)*10*0.4))+MIN(2,IF(AC34&lt;AC$6*1.1,0,(AC34/AC$6-1.1)*10*0.4))+MIN(2,IF(AD34&lt;AD$6*1.1,0,(AD34/AD$6-1.1)*10*0.4))</f>
        <v>0</v>
      </c>
    </row>
  </sheetData>
  <sortState ref="B7:AE34">
    <sortCondition ref="C7:C34" descending="1"/>
  </sortState>
  <mergeCells count="31">
    <mergeCell ref="A1:AE1"/>
    <mergeCell ref="D2:S2"/>
    <mergeCell ref="T2:Y2"/>
    <mergeCell ref="Z2:AA2"/>
    <mergeCell ref="AB2:AE2"/>
    <mergeCell ref="D3:K3"/>
    <mergeCell ref="L3:S3"/>
    <mergeCell ref="T3:W3"/>
    <mergeCell ref="X3:Y3"/>
    <mergeCell ref="Z3:AA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2:A5"/>
    <mergeCell ref="B2:B5"/>
    <mergeCell ref="C2:C5"/>
    <mergeCell ref="X4:X5"/>
    <mergeCell ref="Y4:Y5"/>
    <mergeCell ref="Z4:Z5"/>
    <mergeCell ref="AA4:AA5"/>
    <mergeCell ref="AB3:AB5"/>
    <mergeCell ref="AC3:AC5"/>
    <mergeCell ref="AD3:AD5"/>
    <mergeCell ref="AE3:AE5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HP(惠普)电脑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results</vt:lpstr>
      <vt:lpstr>Sheet1</vt:lpstr>
      <vt:lpstr>测算稿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纪鹏</dc:creator>
  <cp:lastModifiedBy>李晓威</cp:lastModifiedBy>
  <dcterms:created xsi:type="dcterms:W3CDTF">2017-05-20T08:33:00Z</dcterms:created>
  <dcterms:modified xsi:type="dcterms:W3CDTF">2023-08-14T07:25:13Z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5F69C6F03D5A46CCB04C86EF87B00F00_13</vt:lpwstr>
  </property>
</Properties>
</file>